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361\Desktop\修正\"/>
    </mc:Choice>
  </mc:AlternateContent>
  <bookViews>
    <workbookView xWindow="0" yWindow="0" windowWidth="23040" windowHeight="9096"/>
  </bookViews>
  <sheets>
    <sheet name="Sheet1" sheetId="1" r:id="rId1"/>
    <sheet name="Sheet1 (2)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1" l="1"/>
  <c r="D240" i="1"/>
  <c r="D235" i="1"/>
  <c r="D216" i="1"/>
  <c r="D211" i="1"/>
  <c r="D193" i="1"/>
  <c r="D188" i="1"/>
  <c r="D146" i="1"/>
  <c r="D141" i="1"/>
  <c r="D122" i="1"/>
  <c r="D117" i="1"/>
  <c r="D99" i="1"/>
  <c r="D94" i="1"/>
  <c r="D75" i="1"/>
  <c r="D70" i="1"/>
  <c r="H42" i="1"/>
  <c r="D52" i="1"/>
  <c r="D47" i="1"/>
  <c r="D42" i="1"/>
  <c r="D35" i="1"/>
  <c r="H43" i="1"/>
  <c r="D24" i="1" l="1"/>
  <c r="D229" i="1" l="1"/>
  <c r="D205" i="1"/>
  <c r="D182" i="1"/>
  <c r="D158" i="1"/>
  <c r="D135" i="1"/>
  <c r="D111" i="1"/>
  <c r="D88" i="1"/>
  <c r="D64" i="1"/>
  <c r="D41" i="1"/>
  <c r="S225" i="2" l="1"/>
  <c r="R225" i="2"/>
  <c r="Q225" i="2"/>
  <c r="P225" i="2"/>
  <c r="O225" i="2"/>
  <c r="N225" i="2"/>
  <c r="M225" i="2"/>
  <c r="L225" i="2"/>
  <c r="K225" i="2"/>
  <c r="J225" i="2"/>
  <c r="I225" i="2"/>
  <c r="H225" i="2"/>
  <c r="T225" i="2" s="1"/>
  <c r="D225" i="2"/>
  <c r="T224" i="2"/>
  <c r="D224" i="2" s="1"/>
  <c r="S223" i="2"/>
  <c r="S226" i="2" s="1"/>
  <c r="R223" i="2"/>
  <c r="R226" i="2" s="1"/>
  <c r="Q223" i="2"/>
  <c r="Q226" i="2" s="1"/>
  <c r="P223" i="2"/>
  <c r="P226" i="2" s="1"/>
  <c r="O223" i="2"/>
  <c r="O226" i="2" s="1"/>
  <c r="N223" i="2"/>
  <c r="N226" i="2" s="1"/>
  <c r="M223" i="2"/>
  <c r="M226" i="2" s="1"/>
  <c r="L223" i="2"/>
  <c r="L226" i="2" s="1"/>
  <c r="K223" i="2"/>
  <c r="K226" i="2" s="1"/>
  <c r="J223" i="2"/>
  <c r="J226" i="2" s="1"/>
  <c r="I223" i="2"/>
  <c r="I226" i="2" s="1"/>
  <c r="H223" i="2"/>
  <c r="H226" i="2" s="1"/>
  <c r="T219" i="2"/>
  <c r="D219" i="2" s="1"/>
  <c r="T218" i="2"/>
  <c r="T223" i="2" s="1"/>
  <c r="D218" i="2"/>
  <c r="D223" i="2" s="1"/>
  <c r="Q203" i="2"/>
  <c r="S202" i="2"/>
  <c r="R202" i="2"/>
  <c r="Q202" i="2"/>
  <c r="P202" i="2"/>
  <c r="O202" i="2"/>
  <c r="N202" i="2"/>
  <c r="M202" i="2"/>
  <c r="L202" i="2"/>
  <c r="K202" i="2"/>
  <c r="J202" i="2"/>
  <c r="I202" i="2"/>
  <c r="H202" i="2"/>
  <c r="T202" i="2" s="1"/>
  <c r="D202" i="2"/>
  <c r="T201" i="2"/>
  <c r="D201" i="2" s="1"/>
  <c r="T209" i="2" s="1"/>
  <c r="T211" i="2" s="1"/>
  <c r="S200" i="2"/>
  <c r="S203" i="2" s="1"/>
  <c r="R200" i="2"/>
  <c r="R203" i="2" s="1"/>
  <c r="Q200" i="2"/>
  <c r="P200" i="2"/>
  <c r="P203" i="2" s="1"/>
  <c r="O200" i="2"/>
  <c r="O203" i="2" s="1"/>
  <c r="N200" i="2"/>
  <c r="N203" i="2" s="1"/>
  <c r="M200" i="2"/>
  <c r="M203" i="2" s="1"/>
  <c r="L200" i="2"/>
  <c r="L203" i="2" s="1"/>
  <c r="K200" i="2"/>
  <c r="K203" i="2" s="1"/>
  <c r="J200" i="2"/>
  <c r="J203" i="2" s="1"/>
  <c r="I200" i="2"/>
  <c r="I203" i="2" s="1"/>
  <c r="H200" i="2"/>
  <c r="H203" i="2" s="1"/>
  <c r="T196" i="2"/>
  <c r="D196" i="2" s="1"/>
  <c r="T195" i="2"/>
  <c r="D195" i="2" s="1"/>
  <c r="D200" i="2" s="1"/>
  <c r="N180" i="2"/>
  <c r="S179" i="2"/>
  <c r="R179" i="2"/>
  <c r="Q179" i="2"/>
  <c r="P179" i="2"/>
  <c r="O179" i="2"/>
  <c r="N179" i="2"/>
  <c r="M179" i="2"/>
  <c r="L179" i="2"/>
  <c r="K179" i="2"/>
  <c r="J179" i="2"/>
  <c r="I179" i="2"/>
  <c r="H179" i="2"/>
  <c r="T179" i="2" s="1"/>
  <c r="D179" i="2"/>
  <c r="T178" i="2"/>
  <c r="D178" i="2" s="1"/>
  <c r="T186" i="2" s="1"/>
  <c r="T188" i="2" s="1"/>
  <c r="S177" i="2"/>
  <c r="S180" i="2" s="1"/>
  <c r="R177" i="2"/>
  <c r="R180" i="2" s="1"/>
  <c r="Q177" i="2"/>
  <c r="Q180" i="2" s="1"/>
  <c r="P177" i="2"/>
  <c r="P180" i="2" s="1"/>
  <c r="O177" i="2"/>
  <c r="O180" i="2" s="1"/>
  <c r="N177" i="2"/>
  <c r="M177" i="2"/>
  <c r="M180" i="2" s="1"/>
  <c r="L177" i="2"/>
  <c r="L180" i="2" s="1"/>
  <c r="K177" i="2"/>
  <c r="K180" i="2" s="1"/>
  <c r="J177" i="2"/>
  <c r="J180" i="2" s="1"/>
  <c r="I177" i="2"/>
  <c r="I180" i="2" s="1"/>
  <c r="H177" i="2"/>
  <c r="H180" i="2" s="1"/>
  <c r="T173" i="2"/>
  <c r="D173" i="2"/>
  <c r="T172" i="2"/>
  <c r="T177" i="2" s="1"/>
  <c r="S156" i="2"/>
  <c r="R156" i="2"/>
  <c r="Q156" i="2"/>
  <c r="P156" i="2"/>
  <c r="O156" i="2"/>
  <c r="N156" i="2"/>
  <c r="M156" i="2"/>
  <c r="L156" i="2"/>
  <c r="K156" i="2"/>
  <c r="J156" i="2"/>
  <c r="I156" i="2"/>
  <c r="H156" i="2"/>
  <c r="T156" i="2" s="1"/>
  <c r="D156" i="2"/>
  <c r="T155" i="2"/>
  <c r="D155" i="2" s="1"/>
  <c r="S154" i="2"/>
  <c r="S157" i="2" s="1"/>
  <c r="R154" i="2"/>
  <c r="R157" i="2" s="1"/>
  <c r="Q154" i="2"/>
  <c r="Q157" i="2" s="1"/>
  <c r="P154" i="2"/>
  <c r="P157" i="2" s="1"/>
  <c r="O154" i="2"/>
  <c r="O157" i="2" s="1"/>
  <c r="N154" i="2"/>
  <c r="N157" i="2" s="1"/>
  <c r="M154" i="2"/>
  <c r="M157" i="2" s="1"/>
  <c r="L154" i="2"/>
  <c r="L157" i="2" s="1"/>
  <c r="K154" i="2"/>
  <c r="K157" i="2" s="1"/>
  <c r="J154" i="2"/>
  <c r="J157" i="2" s="1"/>
  <c r="I154" i="2"/>
  <c r="I157" i="2" s="1"/>
  <c r="H154" i="2"/>
  <c r="H157" i="2" s="1"/>
  <c r="T150" i="2"/>
  <c r="D150" i="2" s="1"/>
  <c r="T149" i="2"/>
  <c r="T154" i="2" s="1"/>
  <c r="S133" i="2"/>
  <c r="R133" i="2"/>
  <c r="Q133" i="2"/>
  <c r="P133" i="2"/>
  <c r="O133" i="2"/>
  <c r="N133" i="2"/>
  <c r="M133" i="2"/>
  <c r="L133" i="2"/>
  <c r="T133" i="2" s="1"/>
  <c r="K133" i="2"/>
  <c r="J133" i="2"/>
  <c r="I133" i="2"/>
  <c r="H133" i="2"/>
  <c r="D133" i="2"/>
  <c r="T132" i="2"/>
  <c r="D132" i="2" s="1"/>
  <c r="S131" i="2"/>
  <c r="S134" i="2" s="1"/>
  <c r="R131" i="2"/>
  <c r="R134" i="2" s="1"/>
  <c r="Q131" i="2"/>
  <c r="Q134" i="2" s="1"/>
  <c r="P131" i="2"/>
  <c r="P134" i="2" s="1"/>
  <c r="O131" i="2"/>
  <c r="O134" i="2" s="1"/>
  <c r="N131" i="2"/>
  <c r="N134" i="2" s="1"/>
  <c r="M131" i="2"/>
  <c r="M134" i="2" s="1"/>
  <c r="L131" i="2"/>
  <c r="L134" i="2" s="1"/>
  <c r="K131" i="2"/>
  <c r="K134" i="2" s="1"/>
  <c r="J131" i="2"/>
  <c r="J134" i="2" s="1"/>
  <c r="I131" i="2"/>
  <c r="I134" i="2" s="1"/>
  <c r="H131" i="2"/>
  <c r="H134" i="2" s="1"/>
  <c r="T127" i="2"/>
  <c r="D127" i="2" s="1"/>
  <c r="T126" i="2"/>
  <c r="T131" i="2" s="1"/>
  <c r="K111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D110" i="2"/>
  <c r="T109" i="2"/>
  <c r="D109" i="2" s="1"/>
  <c r="S108" i="2"/>
  <c r="S111" i="2" s="1"/>
  <c r="R108" i="2"/>
  <c r="R111" i="2" s="1"/>
  <c r="Q108" i="2"/>
  <c r="Q111" i="2" s="1"/>
  <c r="P108" i="2"/>
  <c r="P111" i="2" s="1"/>
  <c r="O108" i="2"/>
  <c r="O111" i="2" s="1"/>
  <c r="N108" i="2"/>
  <c r="N111" i="2" s="1"/>
  <c r="M108" i="2"/>
  <c r="M111" i="2" s="1"/>
  <c r="L108" i="2"/>
  <c r="L111" i="2" s="1"/>
  <c r="K108" i="2"/>
  <c r="J108" i="2"/>
  <c r="J111" i="2" s="1"/>
  <c r="I108" i="2"/>
  <c r="I111" i="2" s="1"/>
  <c r="H108" i="2"/>
  <c r="H111" i="2" s="1"/>
  <c r="T104" i="2"/>
  <c r="D104" i="2"/>
  <c r="T103" i="2"/>
  <c r="T108" i="2" s="1"/>
  <c r="H88" i="2"/>
  <c r="S87" i="2"/>
  <c r="R87" i="2"/>
  <c r="Q87" i="2"/>
  <c r="P87" i="2"/>
  <c r="O87" i="2"/>
  <c r="N87" i="2"/>
  <c r="M87" i="2"/>
  <c r="L87" i="2"/>
  <c r="K87" i="2"/>
  <c r="J87" i="2"/>
  <c r="I87" i="2"/>
  <c r="H87" i="2"/>
  <c r="D87" i="2"/>
  <c r="T86" i="2"/>
  <c r="D86" i="2" s="1"/>
  <c r="T85" i="2"/>
  <c r="S85" i="2"/>
  <c r="S88" i="2" s="1"/>
  <c r="R85" i="2"/>
  <c r="R88" i="2" s="1"/>
  <c r="Q85" i="2"/>
  <c r="Q88" i="2" s="1"/>
  <c r="P85" i="2"/>
  <c r="P88" i="2" s="1"/>
  <c r="O85" i="2"/>
  <c r="O88" i="2" s="1"/>
  <c r="N85" i="2"/>
  <c r="N88" i="2" s="1"/>
  <c r="M85" i="2"/>
  <c r="M88" i="2" s="1"/>
  <c r="L85" i="2"/>
  <c r="L88" i="2" s="1"/>
  <c r="K85" i="2"/>
  <c r="K88" i="2" s="1"/>
  <c r="J85" i="2"/>
  <c r="J88" i="2" s="1"/>
  <c r="I85" i="2"/>
  <c r="I88" i="2" s="1"/>
  <c r="H85" i="2"/>
  <c r="T81" i="2"/>
  <c r="D81" i="2" s="1"/>
  <c r="T80" i="2"/>
  <c r="D80" i="2" s="1"/>
  <c r="S64" i="2"/>
  <c r="R64" i="2"/>
  <c r="Q64" i="2"/>
  <c r="P64" i="2"/>
  <c r="O64" i="2"/>
  <c r="N64" i="2"/>
  <c r="M64" i="2"/>
  <c r="L64" i="2"/>
  <c r="K64" i="2"/>
  <c r="J64" i="2"/>
  <c r="I64" i="2"/>
  <c r="H64" i="2"/>
  <c r="D64" i="2"/>
  <c r="T63" i="2"/>
  <c r="D63" i="2"/>
  <c r="T71" i="2" s="1"/>
  <c r="T73" i="2" s="1"/>
  <c r="S62" i="2"/>
  <c r="S65" i="2" s="1"/>
  <c r="R62" i="2"/>
  <c r="R65" i="2" s="1"/>
  <c r="Q62" i="2"/>
  <c r="Q65" i="2" s="1"/>
  <c r="P62" i="2"/>
  <c r="P65" i="2" s="1"/>
  <c r="O62" i="2"/>
  <c r="O65" i="2" s="1"/>
  <c r="N62" i="2"/>
  <c r="N65" i="2" s="1"/>
  <c r="M62" i="2"/>
  <c r="M65" i="2" s="1"/>
  <c r="L62" i="2"/>
  <c r="L65" i="2" s="1"/>
  <c r="K62" i="2"/>
  <c r="K65" i="2" s="1"/>
  <c r="J62" i="2"/>
  <c r="J65" i="2" s="1"/>
  <c r="I62" i="2"/>
  <c r="I65" i="2" s="1"/>
  <c r="H62" i="2"/>
  <c r="H65" i="2" s="1"/>
  <c r="T58" i="2"/>
  <c r="D58" i="2" s="1"/>
  <c r="T57" i="2"/>
  <c r="T62" i="2" s="1"/>
  <c r="S41" i="2"/>
  <c r="R41" i="2"/>
  <c r="Q41" i="2"/>
  <c r="P41" i="2"/>
  <c r="M41" i="2"/>
  <c r="K41" i="2"/>
  <c r="J41" i="2"/>
  <c r="D41" i="2"/>
  <c r="L41" i="2" s="1"/>
  <c r="T40" i="2"/>
  <c r="D40" i="2" s="1"/>
  <c r="S39" i="2"/>
  <c r="S42" i="2" s="1"/>
  <c r="R39" i="2"/>
  <c r="R42" i="2" s="1"/>
  <c r="Q39" i="2"/>
  <c r="Q42" i="2" s="1"/>
  <c r="P39" i="2"/>
  <c r="P42" i="2" s="1"/>
  <c r="O39" i="2"/>
  <c r="O42" i="2" s="1"/>
  <c r="N39" i="2"/>
  <c r="N42" i="2" s="1"/>
  <c r="M39" i="2"/>
  <c r="M42" i="2" s="1"/>
  <c r="L39" i="2"/>
  <c r="L42" i="2" s="1"/>
  <c r="K39" i="2"/>
  <c r="K42" i="2" s="1"/>
  <c r="J39" i="2"/>
  <c r="J42" i="2" s="1"/>
  <c r="I39" i="2"/>
  <c r="I42" i="2" s="1"/>
  <c r="H39" i="2"/>
  <c r="H42" i="2" s="1"/>
  <c r="T35" i="2"/>
  <c r="D35" i="2" s="1"/>
  <c r="T34" i="2"/>
  <c r="T39" i="2" s="1"/>
  <c r="D34" i="2"/>
  <c r="D39" i="2" s="1"/>
  <c r="D42" i="2" s="1"/>
  <c r="I19" i="2"/>
  <c r="H19" i="2"/>
  <c r="S18" i="2"/>
  <c r="R18" i="2"/>
  <c r="Q18" i="2"/>
  <c r="P18" i="2"/>
  <c r="O18" i="2"/>
  <c r="N18" i="2"/>
  <c r="M18" i="2"/>
  <c r="L18" i="2"/>
  <c r="K18" i="2"/>
  <c r="J18" i="2"/>
  <c r="I18" i="2"/>
  <c r="H18" i="2"/>
  <c r="T17" i="2"/>
  <c r="D17" i="2" s="1"/>
  <c r="T16" i="2"/>
  <c r="S16" i="2"/>
  <c r="S19" i="2" s="1"/>
  <c r="R16" i="2"/>
  <c r="R19" i="2" s="1"/>
  <c r="Q16" i="2"/>
  <c r="Q19" i="2" s="1"/>
  <c r="P16" i="2"/>
  <c r="P19" i="2" s="1"/>
  <c r="O16" i="2"/>
  <c r="O19" i="2" s="1"/>
  <c r="N16" i="2"/>
  <c r="N19" i="2" s="1"/>
  <c r="M16" i="2"/>
  <c r="M19" i="2" s="1"/>
  <c r="L16" i="2"/>
  <c r="L19" i="2" s="1"/>
  <c r="K16" i="2"/>
  <c r="K19" i="2" s="1"/>
  <c r="J16" i="2"/>
  <c r="J19" i="2" s="1"/>
  <c r="I16" i="2"/>
  <c r="H16" i="2"/>
  <c r="T12" i="2"/>
  <c r="D12" i="2" s="1"/>
  <c r="T11" i="2"/>
  <c r="D11" i="2"/>
  <c r="D16" i="2" s="1"/>
  <c r="D19" i="2" s="1"/>
  <c r="H18" i="1"/>
  <c r="T18" i="2" l="1"/>
  <c r="T64" i="2"/>
  <c r="D126" i="2"/>
  <c r="D131" i="2" s="1"/>
  <c r="D134" i="2" s="1"/>
  <c r="D203" i="2"/>
  <c r="T87" i="2"/>
  <c r="H41" i="2"/>
  <c r="T110" i="2"/>
  <c r="I41" i="2"/>
  <c r="D149" i="2"/>
  <c r="D154" i="2" s="1"/>
  <c r="D157" i="2" s="1"/>
  <c r="D172" i="2"/>
  <c r="D177" i="2" s="1"/>
  <c r="D180" i="2" s="1"/>
  <c r="N41" i="2"/>
  <c r="T65" i="2"/>
  <c r="D82" i="2"/>
  <c r="D89" i="2" s="1"/>
  <c r="D85" i="2"/>
  <c r="D88" i="2" s="1"/>
  <c r="T95" i="2"/>
  <c r="T94" i="2"/>
  <c r="T96" i="2" s="1"/>
  <c r="T157" i="2"/>
  <c r="T233" i="2"/>
  <c r="T232" i="2"/>
  <c r="T234" i="2" s="1"/>
  <c r="T49" i="2"/>
  <c r="T48" i="2"/>
  <c r="T50" i="2" s="1"/>
  <c r="T117" i="2"/>
  <c r="T119" i="2" s="1"/>
  <c r="T134" i="2"/>
  <c r="D226" i="2"/>
  <c r="T141" i="2"/>
  <c r="T140" i="2"/>
  <c r="T142" i="2" s="1"/>
  <c r="T180" i="2"/>
  <c r="T203" i="2"/>
  <c r="D220" i="2"/>
  <c r="D227" i="2" s="1"/>
  <c r="L227" i="2" s="1"/>
  <c r="D36" i="2"/>
  <c r="D43" i="2" s="1"/>
  <c r="L43" i="2" s="1"/>
  <c r="T42" i="2"/>
  <c r="T111" i="2"/>
  <c r="T226" i="2"/>
  <c r="D197" i="2"/>
  <c r="D204" i="2" s="1"/>
  <c r="S204" i="2" s="1"/>
  <c r="T19" i="2"/>
  <c r="T25" i="2"/>
  <c r="T27" i="2" s="1"/>
  <c r="T26" i="2"/>
  <c r="T187" i="2"/>
  <c r="O41" i="2"/>
  <c r="T41" i="2" s="1"/>
  <c r="D57" i="2"/>
  <c r="D62" i="2" s="1"/>
  <c r="D65" i="2" s="1"/>
  <c r="T200" i="2"/>
  <c r="T210" i="2"/>
  <c r="D103" i="2"/>
  <c r="D108" i="2" s="1"/>
  <c r="D111" i="2" s="1"/>
  <c r="T88" i="2"/>
  <c r="T163" i="2"/>
  <c r="T165" i="2" s="1"/>
  <c r="D13" i="2"/>
  <c r="D20" i="2" s="1"/>
  <c r="L20" i="2" s="1"/>
  <c r="D174" i="2" l="1"/>
  <c r="D181" i="2" s="1"/>
  <c r="D151" i="2"/>
  <c r="D158" i="2" s="1"/>
  <c r="J158" i="2" s="1"/>
  <c r="K43" i="2"/>
  <c r="D128" i="2"/>
  <c r="D135" i="2" s="1"/>
  <c r="K135" i="2" s="1"/>
  <c r="T164" i="2"/>
  <c r="N204" i="2"/>
  <c r="T118" i="2"/>
  <c r="R89" i="2"/>
  <c r="J89" i="2"/>
  <c r="Q20" i="2"/>
  <c r="I20" i="2"/>
  <c r="N20" i="2"/>
  <c r="L89" i="2"/>
  <c r="K20" i="2"/>
  <c r="K204" i="2"/>
  <c r="H227" i="2"/>
  <c r="R204" i="2"/>
  <c r="H43" i="2"/>
  <c r="I158" i="2"/>
  <c r="H158" i="2"/>
  <c r="D105" i="2"/>
  <c r="D112" i="2" s="1"/>
  <c r="M43" i="2"/>
  <c r="R43" i="2"/>
  <c r="Q181" i="2"/>
  <c r="S181" i="2"/>
  <c r="H89" i="2"/>
  <c r="J204" i="2"/>
  <c r="S20" i="2"/>
  <c r="P204" i="2"/>
  <c r="N89" i="2"/>
  <c r="R227" i="2"/>
  <c r="R135" i="2"/>
  <c r="S43" i="2"/>
  <c r="S227" i="2"/>
  <c r="O158" i="2"/>
  <c r="O20" i="2"/>
  <c r="L158" i="2"/>
  <c r="O181" i="2"/>
  <c r="K181" i="2"/>
  <c r="S89" i="2"/>
  <c r="I89" i="2"/>
  <c r="R181" i="2"/>
  <c r="P227" i="2"/>
  <c r="H204" i="2"/>
  <c r="N43" i="2"/>
  <c r="P89" i="2"/>
  <c r="P20" i="2"/>
  <c r="I227" i="2"/>
  <c r="K227" i="2"/>
  <c r="Q89" i="2"/>
  <c r="N158" i="2"/>
  <c r="K89" i="2"/>
  <c r="O43" i="2"/>
  <c r="J181" i="2"/>
  <c r="I181" i="2"/>
  <c r="M135" i="2"/>
  <c r="N227" i="2"/>
  <c r="S135" i="2"/>
  <c r="Q204" i="2"/>
  <c r="I204" i="2"/>
  <c r="S158" i="2"/>
  <c r="K158" i="2"/>
  <c r="T72" i="2"/>
  <c r="Q158" i="2"/>
  <c r="O89" i="2"/>
  <c r="R158" i="2"/>
  <c r="M204" i="2"/>
  <c r="P135" i="2"/>
  <c r="H135" i="2"/>
  <c r="H20" i="2"/>
  <c r="L204" i="2"/>
  <c r="Q43" i="2"/>
  <c r="M158" i="2"/>
  <c r="J43" i="2"/>
  <c r="O227" i="2"/>
  <c r="P181" i="2"/>
  <c r="M227" i="2"/>
  <c r="D59" i="2"/>
  <c r="D66" i="2" s="1"/>
  <c r="M181" i="2"/>
  <c r="M89" i="2"/>
  <c r="O204" i="2"/>
  <c r="I135" i="2"/>
  <c r="L135" i="2"/>
  <c r="J135" i="2"/>
  <c r="L181" i="2"/>
  <c r="M20" i="2"/>
  <c r="J20" i="2"/>
  <c r="J227" i="2"/>
  <c r="I43" i="2"/>
  <c r="Q227" i="2"/>
  <c r="O135" i="2"/>
  <c r="P43" i="2"/>
  <c r="R20" i="2"/>
  <c r="P158" i="2"/>
  <c r="N135" i="2" l="1"/>
  <c r="Q135" i="2"/>
  <c r="N181" i="2"/>
  <c r="H181" i="2"/>
  <c r="T181" i="2" s="1"/>
  <c r="D182" i="2" s="1"/>
  <c r="D185" i="2"/>
  <c r="D190" i="2"/>
  <c r="T204" i="2"/>
  <c r="D205" i="2" s="1"/>
  <c r="T158" i="2"/>
  <c r="D159" i="2" s="1"/>
  <c r="M112" i="2"/>
  <c r="R112" i="2"/>
  <c r="S112" i="2"/>
  <c r="N112" i="2"/>
  <c r="K112" i="2"/>
  <c r="O112" i="2"/>
  <c r="P112" i="2"/>
  <c r="H112" i="2"/>
  <c r="Q112" i="2"/>
  <c r="L112" i="2"/>
  <c r="I112" i="2"/>
  <c r="J112" i="2"/>
  <c r="T43" i="2"/>
  <c r="D44" i="2" s="1"/>
  <c r="O66" i="2"/>
  <c r="H66" i="2"/>
  <c r="J66" i="2"/>
  <c r="R66" i="2"/>
  <c r="L66" i="2"/>
  <c r="P66" i="2"/>
  <c r="K66" i="2"/>
  <c r="S66" i="2"/>
  <c r="Q66" i="2"/>
  <c r="M66" i="2"/>
  <c r="N66" i="2"/>
  <c r="I66" i="2"/>
  <c r="T227" i="2"/>
  <c r="D228" i="2" s="1"/>
  <c r="T89" i="2"/>
  <c r="D90" i="2" s="1"/>
  <c r="T20" i="2"/>
  <c r="D21" i="2" s="1"/>
  <c r="T135" i="2"/>
  <c r="D136" i="2" s="1"/>
  <c r="D24" i="2" l="1"/>
  <c r="D29" i="2"/>
  <c r="D231" i="2"/>
  <c r="D236" i="2"/>
  <c r="D47" i="2"/>
  <c r="D52" i="2"/>
  <c r="T112" i="2"/>
  <c r="D113" i="2" s="1"/>
  <c r="D162" i="2"/>
  <c r="D167" i="2"/>
  <c r="D98" i="2"/>
  <c r="D93" i="2"/>
  <c r="T66" i="2"/>
  <c r="D67" i="2" s="1"/>
  <c r="D208" i="2"/>
  <c r="D213" i="2"/>
  <c r="D144" i="2"/>
  <c r="D139" i="2"/>
  <c r="D75" i="2" l="1"/>
  <c r="D70" i="2"/>
  <c r="D121" i="2"/>
  <c r="D116" i="2"/>
  <c r="H6" i="2" l="1"/>
  <c r="S229" i="1" l="1"/>
  <c r="R229" i="1"/>
  <c r="Q229" i="1"/>
  <c r="P229" i="1"/>
  <c r="O229" i="1"/>
  <c r="N229" i="1"/>
  <c r="M229" i="1"/>
  <c r="L229" i="1"/>
  <c r="K229" i="1"/>
  <c r="J229" i="1"/>
  <c r="I229" i="1"/>
  <c r="H229" i="1"/>
  <c r="T228" i="1"/>
  <c r="D228" i="1" s="1"/>
  <c r="S227" i="1"/>
  <c r="S230" i="1" s="1"/>
  <c r="R227" i="1"/>
  <c r="R230" i="1" s="1"/>
  <c r="Q227" i="1"/>
  <c r="Q230" i="1" s="1"/>
  <c r="P227" i="1"/>
  <c r="P230" i="1" s="1"/>
  <c r="O227" i="1"/>
  <c r="O230" i="1" s="1"/>
  <c r="N227" i="1"/>
  <c r="N230" i="1" s="1"/>
  <c r="M227" i="1"/>
  <c r="M230" i="1" s="1"/>
  <c r="L227" i="1"/>
  <c r="L230" i="1" s="1"/>
  <c r="K227" i="1"/>
  <c r="K230" i="1" s="1"/>
  <c r="J227" i="1"/>
  <c r="J230" i="1" s="1"/>
  <c r="I227" i="1"/>
  <c r="I230" i="1" s="1"/>
  <c r="H227" i="1"/>
  <c r="H230" i="1" s="1"/>
  <c r="T223" i="1"/>
  <c r="D223" i="1" s="1"/>
  <c r="T222" i="1"/>
  <c r="T227" i="1" s="1"/>
  <c r="S205" i="1"/>
  <c r="R205" i="1"/>
  <c r="Q205" i="1"/>
  <c r="P205" i="1"/>
  <c r="O205" i="1"/>
  <c r="N205" i="1"/>
  <c r="M205" i="1"/>
  <c r="L205" i="1"/>
  <c r="K205" i="1"/>
  <c r="J205" i="1"/>
  <c r="I205" i="1"/>
  <c r="H205" i="1"/>
  <c r="T204" i="1"/>
  <c r="D204" i="1" s="1"/>
  <c r="S203" i="1"/>
  <c r="S206" i="1" s="1"/>
  <c r="R203" i="1"/>
  <c r="R206" i="1" s="1"/>
  <c r="Q203" i="1"/>
  <c r="Q206" i="1" s="1"/>
  <c r="P203" i="1"/>
  <c r="P206" i="1" s="1"/>
  <c r="O203" i="1"/>
  <c r="O206" i="1" s="1"/>
  <c r="N203" i="1"/>
  <c r="N206" i="1" s="1"/>
  <c r="M203" i="1"/>
  <c r="M206" i="1" s="1"/>
  <c r="L203" i="1"/>
  <c r="L206" i="1" s="1"/>
  <c r="K203" i="1"/>
  <c r="K206" i="1" s="1"/>
  <c r="J203" i="1"/>
  <c r="J206" i="1" s="1"/>
  <c r="I203" i="1"/>
  <c r="I206" i="1" s="1"/>
  <c r="H203" i="1"/>
  <c r="H206" i="1" s="1"/>
  <c r="T199" i="1"/>
  <c r="D199" i="1" s="1"/>
  <c r="T198" i="1"/>
  <c r="T203" i="1" s="1"/>
  <c r="S182" i="1"/>
  <c r="R182" i="1"/>
  <c r="Q182" i="1"/>
  <c r="P182" i="1"/>
  <c r="O182" i="1"/>
  <c r="N182" i="1"/>
  <c r="M182" i="1"/>
  <c r="L182" i="1"/>
  <c r="K182" i="1"/>
  <c r="J182" i="1"/>
  <c r="I182" i="1"/>
  <c r="H182" i="1"/>
  <c r="T181" i="1"/>
  <c r="D181" i="1" s="1"/>
  <c r="S180" i="1"/>
  <c r="S183" i="1" s="1"/>
  <c r="R180" i="1"/>
  <c r="R183" i="1" s="1"/>
  <c r="Q180" i="1"/>
  <c r="Q183" i="1" s="1"/>
  <c r="P180" i="1"/>
  <c r="P183" i="1" s="1"/>
  <c r="O180" i="1"/>
  <c r="O183" i="1" s="1"/>
  <c r="N180" i="1"/>
  <c r="N183" i="1" s="1"/>
  <c r="M180" i="1"/>
  <c r="M183" i="1" s="1"/>
  <c r="L180" i="1"/>
  <c r="L183" i="1" s="1"/>
  <c r="K180" i="1"/>
  <c r="K183" i="1" s="1"/>
  <c r="J180" i="1"/>
  <c r="J183" i="1" s="1"/>
  <c r="I180" i="1"/>
  <c r="I183" i="1" s="1"/>
  <c r="H180" i="1"/>
  <c r="H183" i="1" s="1"/>
  <c r="T176" i="1"/>
  <c r="D176" i="1" s="1"/>
  <c r="T175" i="1"/>
  <c r="T180" i="1" s="1"/>
  <c r="M159" i="1"/>
  <c r="S158" i="1"/>
  <c r="R158" i="1"/>
  <c r="Q158" i="1"/>
  <c r="P158" i="1"/>
  <c r="O158" i="1"/>
  <c r="N158" i="1"/>
  <c r="M158" i="1"/>
  <c r="L158" i="1"/>
  <c r="K158" i="1"/>
  <c r="J158" i="1"/>
  <c r="I158" i="1"/>
  <c r="H158" i="1"/>
  <c r="T157" i="1"/>
  <c r="D157" i="1" s="1"/>
  <c r="S156" i="1"/>
  <c r="S159" i="1" s="1"/>
  <c r="R156" i="1"/>
  <c r="R159" i="1" s="1"/>
  <c r="Q156" i="1"/>
  <c r="Q159" i="1" s="1"/>
  <c r="P156" i="1"/>
  <c r="P159" i="1" s="1"/>
  <c r="O156" i="1"/>
  <c r="O159" i="1" s="1"/>
  <c r="N156" i="1"/>
  <c r="N159" i="1" s="1"/>
  <c r="M156" i="1"/>
  <c r="L156" i="1"/>
  <c r="L159" i="1" s="1"/>
  <c r="K156" i="1"/>
  <c r="K159" i="1" s="1"/>
  <c r="J156" i="1"/>
  <c r="J159" i="1" s="1"/>
  <c r="I156" i="1"/>
  <c r="I159" i="1" s="1"/>
  <c r="H156" i="1"/>
  <c r="H159" i="1" s="1"/>
  <c r="T152" i="1"/>
  <c r="D152" i="1" s="1"/>
  <c r="T151" i="1"/>
  <c r="T156" i="1" s="1"/>
  <c r="S135" i="1"/>
  <c r="R135" i="1"/>
  <c r="Q135" i="1"/>
  <c r="P135" i="1"/>
  <c r="O135" i="1"/>
  <c r="N135" i="1"/>
  <c r="M135" i="1"/>
  <c r="L135" i="1"/>
  <c r="K135" i="1"/>
  <c r="J135" i="1"/>
  <c r="I135" i="1"/>
  <c r="H135" i="1"/>
  <c r="T134" i="1"/>
  <c r="D134" i="1" s="1"/>
  <c r="S133" i="1"/>
  <c r="S136" i="1" s="1"/>
  <c r="R133" i="1"/>
  <c r="R136" i="1" s="1"/>
  <c r="Q133" i="1"/>
  <c r="Q136" i="1" s="1"/>
  <c r="P133" i="1"/>
  <c r="P136" i="1" s="1"/>
  <c r="O133" i="1"/>
  <c r="O136" i="1" s="1"/>
  <c r="N133" i="1"/>
  <c r="N136" i="1" s="1"/>
  <c r="M133" i="1"/>
  <c r="M136" i="1" s="1"/>
  <c r="L133" i="1"/>
  <c r="L136" i="1" s="1"/>
  <c r="K133" i="1"/>
  <c r="K136" i="1" s="1"/>
  <c r="J133" i="1"/>
  <c r="J136" i="1" s="1"/>
  <c r="I133" i="1"/>
  <c r="I136" i="1" s="1"/>
  <c r="H133" i="1"/>
  <c r="H136" i="1" s="1"/>
  <c r="T129" i="1"/>
  <c r="D129" i="1" s="1"/>
  <c r="T128" i="1"/>
  <c r="T133" i="1" s="1"/>
  <c r="S111" i="1"/>
  <c r="R111" i="1"/>
  <c r="Q111" i="1"/>
  <c r="P111" i="1"/>
  <c r="O111" i="1"/>
  <c r="N111" i="1"/>
  <c r="M111" i="1"/>
  <c r="L111" i="1"/>
  <c r="K111" i="1"/>
  <c r="J111" i="1"/>
  <c r="I111" i="1"/>
  <c r="H111" i="1"/>
  <c r="T110" i="1"/>
  <c r="D110" i="1" s="1"/>
  <c r="S109" i="1"/>
  <c r="S112" i="1" s="1"/>
  <c r="R109" i="1"/>
  <c r="R112" i="1" s="1"/>
  <c r="Q109" i="1"/>
  <c r="Q112" i="1" s="1"/>
  <c r="P109" i="1"/>
  <c r="P112" i="1" s="1"/>
  <c r="O109" i="1"/>
  <c r="O112" i="1" s="1"/>
  <c r="N109" i="1"/>
  <c r="N112" i="1" s="1"/>
  <c r="M109" i="1"/>
  <c r="M112" i="1" s="1"/>
  <c r="L109" i="1"/>
  <c r="L112" i="1" s="1"/>
  <c r="K109" i="1"/>
  <c r="K112" i="1" s="1"/>
  <c r="J109" i="1"/>
  <c r="J112" i="1" s="1"/>
  <c r="I109" i="1"/>
  <c r="I112" i="1" s="1"/>
  <c r="H109" i="1"/>
  <c r="H112" i="1" s="1"/>
  <c r="T105" i="1"/>
  <c r="D105" i="1" s="1"/>
  <c r="T104" i="1"/>
  <c r="T109" i="1" s="1"/>
  <c r="S88" i="1"/>
  <c r="R88" i="1"/>
  <c r="Q88" i="1"/>
  <c r="P88" i="1"/>
  <c r="O88" i="1"/>
  <c r="N88" i="1"/>
  <c r="M88" i="1"/>
  <c r="L88" i="1"/>
  <c r="K88" i="1"/>
  <c r="J88" i="1"/>
  <c r="I88" i="1"/>
  <c r="H88" i="1"/>
  <c r="T87" i="1"/>
  <c r="D87" i="1" s="1"/>
  <c r="S86" i="1"/>
  <c r="S89" i="1" s="1"/>
  <c r="R86" i="1"/>
  <c r="R89" i="1" s="1"/>
  <c r="Q86" i="1"/>
  <c r="Q89" i="1" s="1"/>
  <c r="P86" i="1"/>
  <c r="P89" i="1" s="1"/>
  <c r="O86" i="1"/>
  <c r="O89" i="1" s="1"/>
  <c r="N86" i="1"/>
  <c r="N89" i="1" s="1"/>
  <c r="M86" i="1"/>
  <c r="M89" i="1" s="1"/>
  <c r="L86" i="1"/>
  <c r="L89" i="1" s="1"/>
  <c r="K86" i="1"/>
  <c r="K89" i="1" s="1"/>
  <c r="J86" i="1"/>
  <c r="J89" i="1" s="1"/>
  <c r="I86" i="1"/>
  <c r="I89" i="1" s="1"/>
  <c r="H86" i="1"/>
  <c r="H89" i="1" s="1"/>
  <c r="T82" i="1"/>
  <c r="D82" i="1" s="1"/>
  <c r="T81" i="1"/>
  <c r="T86" i="1" s="1"/>
  <c r="S64" i="1"/>
  <c r="R64" i="1"/>
  <c r="Q64" i="1"/>
  <c r="P64" i="1"/>
  <c r="O64" i="1"/>
  <c r="N64" i="1"/>
  <c r="M64" i="1"/>
  <c r="L64" i="1"/>
  <c r="K64" i="1"/>
  <c r="J64" i="1"/>
  <c r="I64" i="1"/>
  <c r="H64" i="1"/>
  <c r="T63" i="1"/>
  <c r="D63" i="1" s="1"/>
  <c r="S62" i="1"/>
  <c r="S65" i="1" s="1"/>
  <c r="R62" i="1"/>
  <c r="R65" i="1" s="1"/>
  <c r="Q62" i="1"/>
  <c r="Q65" i="1" s="1"/>
  <c r="P62" i="1"/>
  <c r="P65" i="1" s="1"/>
  <c r="O62" i="1"/>
  <c r="O65" i="1" s="1"/>
  <c r="N62" i="1"/>
  <c r="N65" i="1" s="1"/>
  <c r="M62" i="1"/>
  <c r="M65" i="1" s="1"/>
  <c r="L62" i="1"/>
  <c r="L65" i="1" s="1"/>
  <c r="K62" i="1"/>
  <c r="K65" i="1" s="1"/>
  <c r="J62" i="1"/>
  <c r="J65" i="1" s="1"/>
  <c r="I62" i="1"/>
  <c r="I65" i="1" s="1"/>
  <c r="H62" i="1"/>
  <c r="H65" i="1" s="1"/>
  <c r="T58" i="1"/>
  <c r="D58" i="1" s="1"/>
  <c r="T57" i="1"/>
  <c r="T62" i="1" s="1"/>
  <c r="H16" i="1"/>
  <c r="D222" i="1" l="1"/>
  <c r="D227" i="1" s="1"/>
  <c r="T158" i="1"/>
  <c r="T182" i="1"/>
  <c r="T88" i="1"/>
  <c r="T64" i="1"/>
  <c r="T205" i="1"/>
  <c r="T135" i="1"/>
  <c r="T229" i="1"/>
  <c r="T111" i="1"/>
  <c r="T237" i="1"/>
  <c r="T236" i="1"/>
  <c r="T238" i="1" s="1"/>
  <c r="D230" i="1"/>
  <c r="D224" i="1"/>
  <c r="D231" i="1" s="1"/>
  <c r="K231" i="1" s="1"/>
  <c r="T230" i="1"/>
  <c r="T206" i="1"/>
  <c r="T212" i="1"/>
  <c r="T214" i="1" s="1"/>
  <c r="D198" i="1"/>
  <c r="D203" i="1" s="1"/>
  <c r="D206" i="1" s="1"/>
  <c r="T183" i="1"/>
  <c r="D175" i="1"/>
  <c r="D180" i="1" s="1"/>
  <c r="D183" i="1" s="1"/>
  <c r="T189" i="1"/>
  <c r="T191" i="1" s="1"/>
  <c r="T159" i="1"/>
  <c r="T165" i="1"/>
  <c r="T167" i="1" s="1"/>
  <c r="D151" i="1"/>
  <c r="D156" i="1" s="1"/>
  <c r="D159" i="1" s="1"/>
  <c r="T136" i="1"/>
  <c r="T142" i="1"/>
  <c r="T144" i="1" s="1"/>
  <c r="D128" i="1"/>
  <c r="D133" i="1" s="1"/>
  <c r="D136" i="1" s="1"/>
  <c r="T118" i="1"/>
  <c r="T120" i="1" s="1"/>
  <c r="T112" i="1"/>
  <c r="D104" i="1"/>
  <c r="D109" i="1" s="1"/>
  <c r="D112" i="1" s="1"/>
  <c r="T95" i="1"/>
  <c r="T97" i="1" s="1"/>
  <c r="T89" i="1"/>
  <c r="D81" i="1"/>
  <c r="D86" i="1" s="1"/>
  <c r="D89" i="1" s="1"/>
  <c r="T71" i="1"/>
  <c r="T73" i="1" s="1"/>
  <c r="T65" i="1"/>
  <c r="D57" i="1"/>
  <c r="D62" i="1" s="1"/>
  <c r="D65" i="1" s="1"/>
  <c r="D130" i="1" l="1"/>
  <c r="D137" i="1" s="1"/>
  <c r="L137" i="1" s="1"/>
  <c r="P231" i="1"/>
  <c r="N231" i="1"/>
  <c r="O231" i="1"/>
  <c r="R231" i="1"/>
  <c r="J231" i="1"/>
  <c r="M231" i="1"/>
  <c r="T213" i="1"/>
  <c r="T166" i="1"/>
  <c r="T143" i="1"/>
  <c r="T96" i="1"/>
  <c r="T72" i="1"/>
  <c r="H231" i="1"/>
  <c r="Q231" i="1"/>
  <c r="L231" i="1"/>
  <c r="S231" i="1"/>
  <c r="I231" i="1"/>
  <c r="D200" i="1"/>
  <c r="D207" i="1" s="1"/>
  <c r="D177" i="1"/>
  <c r="D184" i="1" s="1"/>
  <c r="T190" i="1"/>
  <c r="D153" i="1"/>
  <c r="D160" i="1" s="1"/>
  <c r="T119" i="1"/>
  <c r="D106" i="1"/>
  <c r="D113" i="1" s="1"/>
  <c r="D83" i="1"/>
  <c r="D90" i="1" s="1"/>
  <c r="D59" i="1"/>
  <c r="D66" i="1" s="1"/>
  <c r="P137" i="1" l="1"/>
  <c r="K137" i="1"/>
  <c r="M137" i="1"/>
  <c r="O137" i="1"/>
  <c r="Q137" i="1"/>
  <c r="R137" i="1"/>
  <c r="I137" i="1"/>
  <c r="J137" i="1"/>
  <c r="N137" i="1"/>
  <c r="S137" i="1"/>
  <c r="H137" i="1"/>
  <c r="T231" i="1"/>
  <c r="D232" i="1" s="1"/>
  <c r="L207" i="1"/>
  <c r="I207" i="1"/>
  <c r="S207" i="1"/>
  <c r="N207" i="1"/>
  <c r="M207" i="1"/>
  <c r="J207" i="1"/>
  <c r="P207" i="1"/>
  <c r="R207" i="1"/>
  <c r="Q207" i="1"/>
  <c r="O207" i="1"/>
  <c r="H207" i="1"/>
  <c r="K207" i="1"/>
  <c r="L184" i="1"/>
  <c r="N184" i="1"/>
  <c r="P184" i="1"/>
  <c r="R184" i="1"/>
  <c r="O184" i="1"/>
  <c r="H184" i="1"/>
  <c r="J184" i="1"/>
  <c r="Q184" i="1"/>
  <c r="K184" i="1"/>
  <c r="S184" i="1"/>
  <c r="I184" i="1"/>
  <c r="M184" i="1"/>
  <c r="M160" i="1"/>
  <c r="R160" i="1"/>
  <c r="L160" i="1"/>
  <c r="S160" i="1"/>
  <c r="N160" i="1"/>
  <c r="Q160" i="1"/>
  <c r="O160" i="1"/>
  <c r="K160" i="1"/>
  <c r="P160" i="1"/>
  <c r="I160" i="1"/>
  <c r="H160" i="1"/>
  <c r="J160" i="1"/>
  <c r="R113" i="1"/>
  <c r="L113" i="1"/>
  <c r="P113" i="1"/>
  <c r="I113" i="1"/>
  <c r="O113" i="1"/>
  <c r="N113" i="1"/>
  <c r="Q113" i="1"/>
  <c r="K113" i="1"/>
  <c r="J113" i="1"/>
  <c r="M113" i="1"/>
  <c r="S113" i="1"/>
  <c r="H113" i="1"/>
  <c r="J90" i="1"/>
  <c r="H90" i="1"/>
  <c r="Q90" i="1"/>
  <c r="I90" i="1"/>
  <c r="R90" i="1"/>
  <c r="P90" i="1"/>
  <c r="O90" i="1"/>
  <c r="S90" i="1"/>
  <c r="K90" i="1"/>
  <c r="L90" i="1"/>
  <c r="M90" i="1"/>
  <c r="N90" i="1"/>
  <c r="L66" i="1"/>
  <c r="N66" i="1"/>
  <c r="J66" i="1"/>
  <c r="K66" i="1"/>
  <c r="R66" i="1"/>
  <c r="Q66" i="1"/>
  <c r="P66" i="1"/>
  <c r="O66" i="1"/>
  <c r="H66" i="1"/>
  <c r="S66" i="1"/>
  <c r="M66" i="1"/>
  <c r="I66" i="1"/>
  <c r="T137" i="1" l="1"/>
  <c r="D138" i="1" s="1"/>
  <c r="T207" i="1"/>
  <c r="D208" i="1" s="1"/>
  <c r="T184" i="1"/>
  <c r="D185" i="1" s="1"/>
  <c r="T160" i="1"/>
  <c r="D161" i="1" s="1"/>
  <c r="T113" i="1"/>
  <c r="D114" i="1" s="1"/>
  <c r="T90" i="1"/>
  <c r="D91" i="1" s="1"/>
  <c r="T66" i="1"/>
  <c r="D67" i="1" s="1"/>
  <c r="S41" i="1"/>
  <c r="R41" i="1"/>
  <c r="Q41" i="1"/>
  <c r="P41" i="1"/>
  <c r="O41" i="1"/>
  <c r="N41" i="1"/>
  <c r="M41" i="1"/>
  <c r="L41" i="1"/>
  <c r="K41" i="1"/>
  <c r="J41" i="1"/>
  <c r="I41" i="1"/>
  <c r="H41" i="1"/>
  <c r="T40" i="1"/>
  <c r="D40" i="1" s="1"/>
  <c r="S39" i="1"/>
  <c r="S42" i="1" s="1"/>
  <c r="R39" i="1"/>
  <c r="R42" i="1" s="1"/>
  <c r="Q39" i="1"/>
  <c r="Q42" i="1" s="1"/>
  <c r="P39" i="1"/>
  <c r="P42" i="1" s="1"/>
  <c r="O39" i="1"/>
  <c r="O42" i="1" s="1"/>
  <c r="N39" i="1"/>
  <c r="N42" i="1" s="1"/>
  <c r="M39" i="1"/>
  <c r="M42" i="1" s="1"/>
  <c r="L39" i="1"/>
  <c r="L42" i="1" s="1"/>
  <c r="K39" i="1"/>
  <c r="K42" i="1" s="1"/>
  <c r="J39" i="1"/>
  <c r="J42" i="1" s="1"/>
  <c r="I39" i="1"/>
  <c r="I42" i="1" s="1"/>
  <c r="H39" i="1"/>
  <c r="T35" i="1"/>
  <c r="T34" i="1"/>
  <c r="T39" i="1" s="1"/>
  <c r="S18" i="1"/>
  <c r="R18" i="1"/>
  <c r="Q18" i="1"/>
  <c r="P18" i="1"/>
  <c r="O18" i="1"/>
  <c r="N18" i="1"/>
  <c r="M18" i="1"/>
  <c r="L18" i="1"/>
  <c r="K18" i="1"/>
  <c r="J18" i="1"/>
  <c r="I18" i="1"/>
  <c r="T17" i="1"/>
  <c r="D17" i="1" s="1"/>
  <c r="S16" i="1"/>
  <c r="S19" i="1" s="1"/>
  <c r="R16" i="1"/>
  <c r="R19" i="1" s="1"/>
  <c r="Q16" i="1"/>
  <c r="Q19" i="1" s="1"/>
  <c r="P16" i="1"/>
  <c r="P19" i="1" s="1"/>
  <c r="O16" i="1"/>
  <c r="O19" i="1" s="1"/>
  <c r="N16" i="1"/>
  <c r="N19" i="1" s="1"/>
  <c r="M16" i="1"/>
  <c r="M19" i="1" s="1"/>
  <c r="L16" i="1"/>
  <c r="L19" i="1" s="1"/>
  <c r="K16" i="1"/>
  <c r="K19" i="1" s="1"/>
  <c r="J16" i="1"/>
  <c r="J19" i="1" s="1"/>
  <c r="I16" i="1"/>
  <c r="I19" i="1" s="1"/>
  <c r="H19" i="1"/>
  <c r="T12" i="1"/>
  <c r="D12" i="1" s="1"/>
  <c r="T11" i="1"/>
  <c r="T16" i="1" s="1"/>
  <c r="D169" i="1" l="1"/>
  <c r="D164" i="1"/>
  <c r="T26" i="1"/>
  <c r="T18" i="1"/>
  <c r="T41" i="1"/>
  <c r="D11" i="1"/>
  <c r="D16" i="1" s="1"/>
  <c r="D19" i="1" s="1"/>
  <c r="T42" i="1"/>
  <c r="T25" i="1"/>
  <c r="T27" i="1" s="1"/>
  <c r="M6" i="1" s="1"/>
  <c r="T19" i="1"/>
  <c r="T48" i="1"/>
  <c r="T50" i="1" s="1"/>
  <c r="D34" i="1"/>
  <c r="D39" i="1" s="1"/>
  <c r="D13" i="1" l="1"/>
  <c r="D20" i="1" s="1"/>
  <c r="K20" i="1" s="1"/>
  <c r="T49" i="1"/>
  <c r="M20" i="1"/>
  <c r="Q20" i="1"/>
  <c r="S20" i="1"/>
  <c r="D43" i="1"/>
  <c r="L20" i="1"/>
  <c r="P20" i="1" l="1"/>
  <c r="J20" i="1"/>
  <c r="H20" i="1"/>
  <c r="T20" i="1" s="1"/>
  <c r="D21" i="1" s="1"/>
  <c r="D29" i="1" s="1"/>
  <c r="O20" i="1"/>
  <c r="I20" i="1"/>
  <c r="N20" i="1"/>
  <c r="R20" i="1"/>
  <c r="Q43" i="1"/>
  <c r="S43" i="1"/>
  <c r="O43" i="1"/>
  <c r="P43" i="1"/>
  <c r="I43" i="1"/>
  <c r="N43" i="1"/>
  <c r="L43" i="1"/>
  <c r="J43" i="1"/>
  <c r="R43" i="1"/>
  <c r="M43" i="1"/>
  <c r="K43" i="1"/>
  <c r="T43" i="1" l="1"/>
  <c r="D44" i="1" s="1"/>
  <c r="H6" i="1" l="1"/>
</calcChain>
</file>

<file path=xl/sharedStrings.xml><?xml version="1.0" encoding="utf-8"?>
<sst xmlns="http://schemas.openxmlformats.org/spreadsheetml/2006/main" count="1236" uniqueCount="85">
  <si>
    <t>様式６</t>
    <rPh sb="0" eb="2">
      <t>ヨウシキ</t>
    </rPh>
    <phoneticPr fontId="4"/>
  </si>
  <si>
    <t>電気料金シミュレーション表</t>
    <rPh sb="0" eb="4">
      <t>デンキリョウキン</t>
    </rPh>
    <rPh sb="12" eb="13">
      <t>ヒョウ</t>
    </rPh>
    <phoneticPr fontId="4"/>
  </si>
  <si>
    <t>〇所在地：</t>
    <rPh sb="1" eb="4">
      <t>ショザイチ</t>
    </rPh>
    <phoneticPr fontId="4"/>
  </si>
  <si>
    <t>〇称号又は名称：</t>
    <rPh sb="1" eb="3">
      <t>ショウゴウ</t>
    </rPh>
    <rPh sb="3" eb="4">
      <t>マタ</t>
    </rPh>
    <rPh sb="5" eb="7">
      <t>メイショウ</t>
    </rPh>
    <phoneticPr fontId="4"/>
  </si>
  <si>
    <t>〇代表者氏名：</t>
    <phoneticPr fontId="4"/>
  </si>
  <si>
    <t>※1,000円未満切り捨て</t>
    <rPh sb="6" eb="7">
      <t>エン</t>
    </rPh>
    <rPh sb="7" eb="9">
      <t>ミマン</t>
    </rPh>
    <rPh sb="9" eb="10">
      <t>キ</t>
    </rPh>
    <rPh sb="11" eb="12">
      <t>ス</t>
    </rPh>
    <phoneticPr fontId="4"/>
  </si>
  <si>
    <t>＜内訳＞</t>
    <rPh sb="1" eb="3">
      <t>ウチワケ</t>
    </rPh>
    <phoneticPr fontId="4"/>
  </si>
  <si>
    <t>4月</t>
    <rPh sb="1" eb="2">
      <t>ガツ</t>
    </rPh>
    <phoneticPr fontId="9"/>
  </si>
  <si>
    <t>5月</t>
    <rPh sb="1" eb="2">
      <t>ガツ</t>
    </rPh>
    <phoneticPr fontId="9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</si>
  <si>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</si>
  <si>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</si>
  <si>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</si>
  <si>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</si>
  <si>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</si>
  <si>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</si>
  <si>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</si>
  <si>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</si>
  <si>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</si>
  <si>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  <rPh sb="1" eb="2">
      <t>ガツ</t>
    </rPh>
    <phoneticPr fontId="9"/>
  </si>
  <si>
    <t>計</t>
    <rPh sb="0" eb="1">
      <t>ケイ</t>
    </rPh>
    <phoneticPr fontId="9"/>
  </si>
  <si>
    <t>施設使用電力量（kWh）…①</t>
    <rPh sb="0" eb="2">
      <t>シセツ</t>
    </rPh>
    <rPh sb="2" eb="4">
      <t>シヨウ</t>
    </rPh>
    <rPh sb="4" eb="6">
      <t>デンリョク</t>
    </rPh>
    <rPh sb="6" eb="7">
      <t>リョウ</t>
    </rPh>
    <phoneticPr fontId="9"/>
  </si>
  <si>
    <t>使用電力量（kWh）</t>
    <rPh sb="0" eb="2">
      <t>シヨウ</t>
    </rPh>
    <rPh sb="2" eb="4">
      <t>デンリョク</t>
    </rPh>
    <rPh sb="4" eb="5">
      <t>リョウ</t>
    </rPh>
    <phoneticPr fontId="9"/>
  </si>
  <si>
    <t>基準年間電気料金（円）…②</t>
    <rPh sb="0" eb="2">
      <t>キジュン</t>
    </rPh>
    <rPh sb="2" eb="4">
      <t>ネンカン</t>
    </rPh>
    <rPh sb="4" eb="8">
      <t>デンキリョウキン</t>
    </rPh>
    <rPh sb="9" eb="10">
      <t>エン</t>
    </rPh>
    <phoneticPr fontId="9"/>
  </si>
  <si>
    <t>電気料金（円）</t>
    <rPh sb="0" eb="2">
      <t>デンキ</t>
    </rPh>
    <rPh sb="2" eb="4">
      <t>リョウキン</t>
    </rPh>
    <rPh sb="5" eb="6">
      <t>エン</t>
    </rPh>
    <phoneticPr fontId="9"/>
  </si>
  <si>
    <t>単価（円/kWh）…③（＝②/①）</t>
    <rPh sb="0" eb="2">
      <t>タンカ</t>
    </rPh>
    <rPh sb="3" eb="4">
      <t>エン</t>
    </rPh>
    <phoneticPr fontId="9"/>
  </si>
  <si>
    <t>＜PPA提案＞</t>
    <rPh sb="4" eb="6">
      <t>テイアン</t>
    </rPh>
    <phoneticPr fontId="9"/>
  </si>
  <si>
    <t>PPA</t>
    <phoneticPr fontId="9"/>
  </si>
  <si>
    <t>PPAによる電力供給量（kWh）…④</t>
    <rPh sb="6" eb="11">
      <t>デンリョクキョウキュウリョウ</t>
    </rPh>
    <phoneticPr fontId="9"/>
  </si>
  <si>
    <t>PPA電力供給量（kWh）</t>
    <rPh sb="3" eb="5">
      <t>デンリョク</t>
    </rPh>
    <rPh sb="5" eb="7">
      <t>キョウキュウ</t>
    </rPh>
    <rPh sb="7" eb="8">
      <t>リョウ</t>
    </rPh>
    <phoneticPr fontId="9"/>
  </si>
  <si>
    <t>PPA提案単価（円）…⑤</t>
    <rPh sb="3" eb="5">
      <t>テイアン</t>
    </rPh>
    <rPh sb="5" eb="7">
      <t>タンカ</t>
    </rPh>
    <rPh sb="8" eb="9">
      <t>エン</t>
    </rPh>
    <phoneticPr fontId="9"/>
  </si>
  <si>
    <t>PPA電気料金（円）</t>
    <rPh sb="3" eb="7">
      <t>デンキリョウキン</t>
    </rPh>
    <rPh sb="8" eb="9">
      <t>エン</t>
    </rPh>
    <phoneticPr fontId="9"/>
  </si>
  <si>
    <t>外部調達</t>
    <rPh sb="0" eb="4">
      <t>ガイブチョウタツ</t>
    </rPh>
    <phoneticPr fontId="4"/>
  </si>
  <si>
    <t>不足分電気購入量（kWh）…⑥（＝①-④）</t>
    <rPh sb="0" eb="3">
      <t>フソクブン</t>
    </rPh>
    <rPh sb="3" eb="8">
      <t>デンキコウニュウリョウ</t>
    </rPh>
    <phoneticPr fontId="9"/>
  </si>
  <si>
    <t>外部調達</t>
    <rPh sb="0" eb="4">
      <t>ガイブチョウタツ</t>
    </rPh>
    <phoneticPr fontId="9"/>
  </si>
  <si>
    <t>外部調達量（kWh）</t>
    <rPh sb="0" eb="5">
      <t>ガイブチョウタツリョウ</t>
    </rPh>
    <phoneticPr fontId="4"/>
  </si>
  <si>
    <t>単価（円/kWh）…③</t>
    <rPh sb="0" eb="2">
      <t>タンカ</t>
    </rPh>
    <rPh sb="3" eb="4">
      <t>エン</t>
    </rPh>
    <phoneticPr fontId="9"/>
  </si>
  <si>
    <t>外部調達電気料金（円）</t>
    <rPh sb="0" eb="4">
      <t>ガイブチョウタツ</t>
    </rPh>
    <rPh sb="4" eb="6">
      <t>デンキ</t>
    </rPh>
    <rPh sb="6" eb="8">
      <t>リョウキン</t>
    </rPh>
    <rPh sb="9" eb="10">
      <t>エン</t>
    </rPh>
    <phoneticPr fontId="9"/>
  </si>
  <si>
    <r>
      <t>提案年間電気料金（円）</t>
    </r>
    <r>
      <rPr>
        <sz val="11"/>
        <color rgb="FFFF0000"/>
        <rFont val="Meiryo UI"/>
        <family val="3"/>
        <charset val="128"/>
      </rPr>
      <t>（PPA+外部調達）</t>
    </r>
    <r>
      <rPr>
        <sz val="11"/>
        <color theme="1"/>
        <rFont val="Meiryo UI"/>
        <family val="3"/>
        <charset val="128"/>
      </rPr>
      <t>…⑦</t>
    </r>
    <rPh sb="0" eb="2">
      <t>テイアン</t>
    </rPh>
    <rPh sb="2" eb="4">
      <t>ネンカン</t>
    </rPh>
    <rPh sb="4" eb="8">
      <t>デンキリョウキン</t>
    </rPh>
    <rPh sb="9" eb="10">
      <t>エン</t>
    </rPh>
    <rPh sb="16" eb="20">
      <t>ガイブチョウタツ</t>
    </rPh>
    <phoneticPr fontId="9"/>
  </si>
  <si>
    <t>＜PPA導入効果＞</t>
    <rPh sb="4" eb="6">
      <t>ドウニュウ</t>
    </rPh>
    <rPh sb="6" eb="8">
      <t>コウカ</t>
    </rPh>
    <phoneticPr fontId="4"/>
  </si>
  <si>
    <t>年間の効果</t>
    <rPh sb="0" eb="2">
      <t>ネンカン</t>
    </rPh>
    <rPh sb="3" eb="5">
      <t>コウカ</t>
    </rPh>
    <phoneticPr fontId="9"/>
  </si>
  <si>
    <t>効果量</t>
    <rPh sb="0" eb="3">
      <t>コウカリョウ</t>
    </rPh>
    <phoneticPr fontId="9"/>
  </si>
  <si>
    <t>電気自家消費量（kWh）</t>
    <rPh sb="0" eb="2">
      <t>デンキ</t>
    </rPh>
    <rPh sb="2" eb="7">
      <t>ジカショウヒリョウ</t>
    </rPh>
    <phoneticPr fontId="9"/>
  </si>
  <si>
    <t>自家消費率（％）</t>
    <rPh sb="0" eb="5">
      <t>ジカショウヒリツ</t>
    </rPh>
    <phoneticPr fontId="9"/>
  </si>
  <si>
    <t>二酸化炭素排出削減量（t-CO2）</t>
    <rPh sb="0" eb="3">
      <t>ニサンカ</t>
    </rPh>
    <rPh sb="3" eb="5">
      <t>タンソ</t>
    </rPh>
    <rPh sb="5" eb="7">
      <t>ハイシュツ</t>
    </rPh>
    <rPh sb="7" eb="9">
      <t>サクゲン</t>
    </rPh>
    <rPh sb="9" eb="10">
      <t>リョウ</t>
    </rPh>
    <phoneticPr fontId="9"/>
  </si>
  <si>
    <t>PPA設備運転期間（年）…⑨</t>
    <rPh sb="3" eb="5">
      <t>セツビ</t>
    </rPh>
    <rPh sb="5" eb="7">
      <t>ウンテン</t>
    </rPh>
    <rPh sb="7" eb="9">
      <t>キカン</t>
    </rPh>
    <rPh sb="10" eb="11">
      <t>ネン</t>
    </rPh>
    <phoneticPr fontId="4"/>
  </si>
  <si>
    <t>20年間の黒字額（円）…⑩</t>
    <rPh sb="2" eb="4">
      <t>ネンカン</t>
    </rPh>
    <rPh sb="5" eb="8">
      <t>クロジガク</t>
    </rPh>
    <rPh sb="9" eb="10">
      <t>エン</t>
    </rPh>
    <phoneticPr fontId="4"/>
  </si>
  <si>
    <t>守山小学校　電力シミュレーション</t>
    <rPh sb="0" eb="5">
      <t>モリヤマショウガッコウ</t>
    </rPh>
    <rPh sb="6" eb="8">
      <t>デンリョク</t>
    </rPh>
    <phoneticPr fontId="9"/>
  </si>
  <si>
    <t>物部小学校　電力シミュレーション</t>
    <rPh sb="0" eb="5">
      <t>モノベショウガッコウ</t>
    </rPh>
    <rPh sb="6" eb="8">
      <t>デンリョク</t>
    </rPh>
    <phoneticPr fontId="9"/>
  </si>
  <si>
    <t>基準年間電気料金から黒字化される額（円/年）…⑧
（＝②-⑦-4,989）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</si>
  <si>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基準年間電気料金から黒字化される額（円/年）…⑧
（＝②-⑦-1,196）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</si>
  <si>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基準年間電気料金から黒字化される額（円/年）…⑧
（＝②-⑦-1,612）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</si>
  <si>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吉身小学校　電力シミュレーション</t>
    <rPh sb="0" eb="1">
      <t>キチ</t>
    </rPh>
    <rPh sb="1" eb="2">
      <t>ミ</t>
    </rPh>
    <rPh sb="2" eb="5">
      <t>ショウガッコウ</t>
    </rPh>
    <rPh sb="6" eb="8">
      <t>デンリョク</t>
    </rPh>
    <phoneticPr fontId="9"/>
  </si>
  <si>
    <t>小津小学校　電力シミュレーション</t>
    <rPh sb="0" eb="2">
      <t>オヅ</t>
    </rPh>
    <rPh sb="2" eb="5">
      <t>ショウガッコウ</t>
    </rPh>
    <rPh sb="6" eb="8">
      <t>デンリョク</t>
    </rPh>
    <phoneticPr fontId="9"/>
  </si>
  <si>
    <t>基準年間電気料金から黒字化される額（円/年）…⑧
（＝②-⑦-303）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</si>
  <si>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玉津小学校　電力シミュレーション</t>
    <rPh sb="0" eb="2">
      <t>タマツ</t>
    </rPh>
    <rPh sb="2" eb="5">
      <t>ショウガッコウ</t>
    </rPh>
    <rPh sb="6" eb="8">
      <t>デンリョク</t>
    </rPh>
    <phoneticPr fontId="9"/>
  </si>
  <si>
    <t>基準年間電気料金から黒字化される額（円/年）…⑧
（＝②-⑦-345）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</si>
  <si>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河西小学校　電力シミュレーション</t>
    <rPh sb="0" eb="2">
      <t>カワニシ</t>
    </rPh>
    <rPh sb="2" eb="5">
      <t>ショウガッコウ</t>
    </rPh>
    <rPh sb="6" eb="8">
      <t>デンリョク</t>
    </rPh>
    <phoneticPr fontId="9"/>
  </si>
  <si>
    <t>基準年間電気料金から黒字化される額（円/年）…⑧
（＝②-⑦-105）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</si>
  <si>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守山南中学校　電力シミュレーション</t>
    <rPh sb="0" eb="2">
      <t>モリヤマ</t>
    </rPh>
    <rPh sb="2" eb="3">
      <t>ミナミ</t>
    </rPh>
    <rPh sb="3" eb="6">
      <t>チュウガッコウ</t>
    </rPh>
    <rPh sb="7" eb="9">
      <t>デンリョク</t>
    </rPh>
    <phoneticPr fontId="9"/>
  </si>
  <si>
    <t>基準年間電気料金から黒字化される額（円/年）…⑧
（＝②-⑦-4,185）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</si>
  <si>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守山北中学校　電力シミュレーション</t>
    <rPh sb="0" eb="2">
      <t>モリヤマ</t>
    </rPh>
    <rPh sb="2" eb="3">
      <t>キタ</t>
    </rPh>
    <rPh sb="3" eb="6">
      <t>チュウガッコウ</t>
    </rPh>
    <rPh sb="7" eb="9">
      <t>デンリョク</t>
    </rPh>
    <phoneticPr fontId="9"/>
  </si>
  <si>
    <t>基準年間電気料金から黒字化される額（円/年）…⑧
（＝②-⑦-1,965）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</si>
  <si>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明富中学校　電力シミュレーション</t>
    <rPh sb="0" eb="1">
      <t>アケ</t>
    </rPh>
    <rPh sb="1" eb="2">
      <t>トミ</t>
    </rPh>
    <rPh sb="2" eb="5">
      <t>チュウガッコウ</t>
    </rPh>
    <rPh sb="6" eb="8">
      <t>デンリョク</t>
    </rPh>
    <phoneticPr fontId="9"/>
  </si>
  <si>
    <t>基準年間電気料金から黒字化される額（円/年）…⑧
（＝②-⑦-1,639）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</si>
  <si>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エコパーク　電力シミュレーション</t>
    <rPh sb="6" eb="8">
      <t>デンリョク</t>
    </rPh>
    <phoneticPr fontId="9"/>
  </si>
  <si>
    <t>基準年間電気料金から黒字化される額（円/年）…⑧
（＝②-⑦-295）</t>
    <rPh sb="2" eb="4">
      <t>ネンカン</t>
    </rPh>
    <rPh sb="10" eb="12">
      <t>クロジ</t>
    </rPh>
    <rPh sb="12" eb="13">
      <t>カ</t>
    </rPh>
    <rPh sb="16" eb="17">
      <t>ガク</t>
    </rPh>
    <rPh sb="18" eb="19">
      <t>エン</t>
    </rPh>
    <rPh sb="20" eb="21">
      <t>ネン</t>
    </rPh>
    <phoneticPr fontId="4"/>
  </si>
  <si>
    <t>シミュレーションによる
10施設の黒字額（20年間）</t>
    <rPh sb="14" eb="16">
      <t>シセツ</t>
    </rPh>
    <rPh sb="17" eb="19">
      <t>クロジ</t>
    </rPh>
    <rPh sb="19" eb="20">
      <t>ガク</t>
    </rPh>
    <rPh sb="23" eb="25">
      <t>ネンカン</t>
    </rPh>
    <phoneticPr fontId="4"/>
  </si>
  <si>
    <t>＜基準値＞R5実績より</t>
    <rPh sb="1" eb="3">
      <t>キジュン</t>
    </rPh>
    <rPh sb="3" eb="4">
      <t>アタイ</t>
    </rPh>
    <rPh sb="7" eb="9">
      <t>ジッセキ</t>
    </rPh>
    <phoneticPr fontId="9"/>
  </si>
  <si>
    <t>※排出係数（0.00036）</t>
    <rPh sb="1" eb="5">
      <t>ハイシュツケイスウ</t>
    </rPh>
    <phoneticPr fontId="9"/>
  </si>
  <si>
    <t>様式第6号</t>
    <rPh sb="0" eb="2">
      <t>ヨウシキ</t>
    </rPh>
    <rPh sb="2" eb="3">
      <t>ダイ</t>
    </rPh>
    <rPh sb="4" eb="5">
      <t>ゴウ</t>
    </rPh>
    <phoneticPr fontId="4"/>
  </si>
  <si>
    <t>PPA提案単価および電気料金シミュレーション表</t>
    <rPh sb="3" eb="5">
      <t>テイアン</t>
    </rPh>
    <rPh sb="5" eb="7">
      <t>タンカ</t>
    </rPh>
    <rPh sb="10" eb="14">
      <t>デンキリョウキン</t>
    </rPh>
    <rPh sb="22" eb="23">
      <t>ヒョウ</t>
    </rPh>
    <phoneticPr fontId="4"/>
  </si>
  <si>
    <t>20年間の削減額（円）…⑩</t>
    <rPh sb="2" eb="4">
      <t>ネンカン</t>
    </rPh>
    <rPh sb="5" eb="7">
      <t>サクゲン</t>
    </rPh>
    <rPh sb="7" eb="8">
      <t>ガク</t>
    </rPh>
    <rPh sb="9" eb="10">
      <t>エン</t>
    </rPh>
    <phoneticPr fontId="4"/>
  </si>
  <si>
    <t>シミュレーションによる
10施設の削減額（20年間）</t>
    <rPh sb="14" eb="16">
      <t>シセツ</t>
    </rPh>
    <rPh sb="17" eb="19">
      <t>サクゲン</t>
    </rPh>
    <rPh sb="19" eb="20">
      <t>ガク</t>
    </rPh>
    <rPh sb="23" eb="25">
      <t>ネンカン</t>
    </rPh>
    <phoneticPr fontId="4"/>
  </si>
  <si>
    <t>基準年間電気料金から削減される額（円/年）…⑧
（＝②-⑦-4,989）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</si>
  <si>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（＝②-⑦-1,196）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</si>
  <si>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（＝②-⑦-1,612）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</si>
  <si>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（＝②-⑦-303）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</si>
  <si>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（＝②-⑦-345）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</si>
  <si>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（＝②-⑦-105）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</si>
  <si>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（＝②-⑦-4,185）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</si>
  <si>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（＝②-⑦-1,965）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</si>
  <si>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（＝②-⑦-1,639）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</si>
  <si>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基準年間電気料金から削減される額（円/年）…⑧
（＝②-⑦-295）</t>
    <rPh sb="2" eb="4">
      <t>ネンカン</t>
    </rPh>
    <rPh sb="10" eb="12">
      <t>サクゲン</t>
    </rPh>
    <rPh sb="15" eb="16">
      <t>ガク</t>
    </rPh>
    <rPh sb="17" eb="18">
      <t>エン</t>
    </rPh>
    <rPh sb="19" eb="20">
      <t>ネン</t>
    </rPh>
    <phoneticPr fontId="4"/>
  </si>
  <si>
    <t>10施設の二酸化炭素
排出削減量（t-CO2）</t>
    <phoneticPr fontId="4"/>
  </si>
  <si>
    <t>※物部、吉身、小津、玉津、河西、守山北、明富、エコパークの
使用電力量および電気料金を訂正しました。(6/24時点)</t>
    <rPh sb="1" eb="3">
      <t>モノベ</t>
    </rPh>
    <rPh sb="4" eb="6">
      <t>ヨシミ</t>
    </rPh>
    <rPh sb="7" eb="9">
      <t>オズ</t>
    </rPh>
    <rPh sb="10" eb="12">
      <t>タマツ</t>
    </rPh>
    <rPh sb="13" eb="15">
      <t>カワニシ</t>
    </rPh>
    <rPh sb="16" eb="19">
      <t>モリヤマキタ</t>
    </rPh>
    <rPh sb="20" eb="22">
      <t>アケトミ</t>
    </rPh>
    <rPh sb="30" eb="35">
      <t>シヨウデンリョクリョウ</t>
    </rPh>
    <rPh sb="38" eb="42">
      <t>デンキリョウキン</t>
    </rPh>
    <rPh sb="43" eb="45">
      <t>テイセイ</t>
    </rPh>
    <rPh sb="55" eb="57">
      <t>ジテン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</si>
</sst>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▲ &quot;#,##0"/>
    <numFmt numFmtId="177" formatCode="#,##0_);[Red]\(#,##0\)"/>
    <numFmt numFmtId="178" formatCode="#,##0_ "/>
    <numFmt numFmtId="179" formatCode="#,##0.00_ "/>
    <numFmt numFmtId="180" formatCode="#,##0.00_);[Red]\(#,##0.00\)"/>
    <numFmt numFmtId="181" formatCode="0.00_);[Red]\(0.0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6"/>
      <name val="Meiryo UI"/>
      <family val="2"/>
      <charset val="128"/>
    </font>
    <font>
      <b/>
      <sz val="11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3"/>
      <color theme="1"/>
      <name val="Meiryo UI"/>
      <family val="3"/>
      <charset val="128"/>
    </font>
    <font>
      <sz val="13"/>
      <color theme="1"/>
      <name val="游ゴシック"/>
      <family val="2"/>
      <charset val="128"/>
      <scheme val="minor"/>
    </font>
    <font>
      <b/>
      <sz val="11"/>
      <color rgb="FFFF0000"/>
      <name val="Meiryo UI"/>
      <family val="3"/>
      <charset val="128"/>
    </font>
    <font>
      <b/>
      <sz val="14"/>
      <color theme="0"/>
      <name val="Meiryo UI"/>
      <family val="3"/>
      <charset val="128"/>
    </font>
    <font>
      <b/>
      <sz val="14"/>
      <color theme="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/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7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10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77" fontId="5" fillId="0" borderId="9" xfId="1" applyNumberFormat="1" applyFont="1" applyFill="1" applyBorder="1" applyAlignment="1" applyProtection="1">
      <alignment vertical="center"/>
    </xf>
    <xf numFmtId="177" fontId="5" fillId="0" borderId="9" xfId="3" applyNumberFormat="1" applyFont="1" applyFill="1" applyBorder="1" applyAlignment="1" applyProtection="1">
      <alignment vertical="center"/>
    </xf>
    <xf numFmtId="178" fontId="5" fillId="0" borderId="11" xfId="0" applyNumberFormat="1" applyFont="1" applyBorder="1">
      <alignment vertical="center"/>
    </xf>
    <xf numFmtId="178" fontId="10" fillId="3" borderId="9" xfId="0" applyNumberFormat="1" applyFont="1" applyFill="1" applyBorder="1" applyAlignment="1">
      <alignment horizontal="right" vertical="center"/>
    </xf>
    <xf numFmtId="178" fontId="5" fillId="3" borderId="11" xfId="0" applyNumberFormat="1" applyFont="1" applyFill="1" applyBorder="1">
      <alignment vertical="center"/>
    </xf>
    <xf numFmtId="179" fontId="5" fillId="0" borderId="9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textRotation="255"/>
    </xf>
    <xf numFmtId="177" fontId="5" fillId="0" borderId="16" xfId="3" applyNumberFormat="1" applyFont="1" applyFill="1" applyBorder="1" applyAlignment="1" applyProtection="1">
      <alignment vertical="center"/>
    </xf>
    <xf numFmtId="0" fontId="5" fillId="0" borderId="10" xfId="0" applyFont="1" applyBorder="1">
      <alignment vertical="center"/>
    </xf>
    <xf numFmtId="178" fontId="5" fillId="4" borderId="17" xfId="0" applyNumberFormat="1" applyFont="1" applyFill="1" applyBorder="1" applyProtection="1">
      <alignment vertical="center"/>
      <protection locked="0"/>
    </xf>
    <xf numFmtId="178" fontId="5" fillId="4" borderId="18" xfId="0" applyNumberFormat="1" applyFont="1" applyFill="1" applyBorder="1" applyProtection="1">
      <alignment vertical="center"/>
      <protection locked="0"/>
    </xf>
    <xf numFmtId="178" fontId="5" fillId="4" borderId="19" xfId="0" applyNumberFormat="1" applyFont="1" applyFill="1" applyBorder="1" applyProtection="1">
      <alignment vertical="center"/>
      <protection locked="0"/>
    </xf>
    <xf numFmtId="178" fontId="5" fillId="0" borderId="13" xfId="0" applyNumberFormat="1" applyFont="1" applyBorder="1">
      <alignment vertical="center"/>
    </xf>
    <xf numFmtId="180" fontId="5" fillId="4" borderId="22" xfId="1" applyNumberFormat="1" applyFont="1" applyFill="1" applyBorder="1" applyAlignment="1" applyProtection="1">
      <alignment vertical="center"/>
      <protection locked="0"/>
    </xf>
    <xf numFmtId="178" fontId="5" fillId="0" borderId="20" xfId="0" applyNumberFormat="1" applyFont="1" applyBorder="1">
      <alignment vertical="center"/>
    </xf>
    <xf numFmtId="177" fontId="5" fillId="0" borderId="20" xfId="1" applyNumberFormat="1" applyFont="1" applyBorder="1" applyAlignment="1" applyProtection="1">
      <alignment vertical="center"/>
    </xf>
    <xf numFmtId="0" fontId="5" fillId="0" borderId="14" xfId="0" applyFont="1" applyBorder="1">
      <alignment vertical="center"/>
    </xf>
    <xf numFmtId="178" fontId="5" fillId="0" borderId="9" xfId="0" applyNumberFormat="1" applyFont="1" applyBorder="1">
      <alignment vertical="center"/>
    </xf>
    <xf numFmtId="0" fontId="5" fillId="0" borderId="0" xfId="0" applyFont="1" applyAlignment="1">
      <alignment horizontal="left" vertical="center"/>
    </xf>
    <xf numFmtId="178" fontId="5" fillId="0" borderId="0" xfId="0" applyNumberFormat="1" applyFont="1">
      <alignment vertical="center"/>
    </xf>
    <xf numFmtId="178" fontId="5" fillId="0" borderId="9" xfId="0" applyNumberFormat="1" applyFont="1" applyBorder="1" applyAlignment="1">
      <alignment horizontal="center" vertical="center"/>
    </xf>
    <xf numFmtId="177" fontId="5" fillId="0" borderId="9" xfId="0" applyNumberFormat="1" applyFont="1" applyBorder="1">
      <alignment vertical="center"/>
    </xf>
    <xf numFmtId="181" fontId="5" fillId="0" borderId="9" xfId="2" applyNumberFormat="1" applyFont="1" applyFill="1" applyBorder="1" applyAlignment="1" applyProtection="1">
      <alignment vertical="center"/>
    </xf>
    <xf numFmtId="181" fontId="5" fillId="0" borderId="9" xfId="0" applyNumberFormat="1" applyFont="1" applyBorder="1">
      <alignment vertical="center"/>
    </xf>
    <xf numFmtId="0" fontId="5" fillId="4" borderId="22" xfId="0" applyFont="1" applyFill="1" applyBorder="1" applyProtection="1">
      <alignment vertical="center"/>
      <protection locked="0"/>
    </xf>
    <xf numFmtId="38" fontId="10" fillId="2" borderId="20" xfId="1" applyFont="1" applyFill="1" applyBorder="1" applyAlignment="1" applyProtection="1">
      <alignment vertical="center"/>
    </xf>
    <xf numFmtId="177" fontId="13" fillId="0" borderId="9" xfId="1" applyNumberFormat="1" applyFont="1" applyBorder="1" applyAlignment="1" applyProtection="1">
      <alignment vertical="center"/>
    </xf>
    <xf numFmtId="177" fontId="13" fillId="0" borderId="9" xfId="3" applyNumberFormat="1" applyFont="1" applyBorder="1" applyAlignment="1" applyProtection="1">
      <alignment vertical="center"/>
    </xf>
    <xf numFmtId="177" fontId="13" fillId="0" borderId="16" xfId="1" applyNumberFormat="1" applyFont="1" applyBorder="1" applyAlignment="1" applyProtection="1">
      <alignment vertical="center"/>
    </xf>
    <xf numFmtId="177" fontId="5" fillId="0" borderId="16" xfId="1" applyNumberFormat="1" applyFont="1" applyFill="1" applyBorder="1" applyAlignment="1" applyProtection="1">
      <alignment vertical="center"/>
    </xf>
    <xf numFmtId="181" fontId="5" fillId="4" borderId="22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38" fontId="5" fillId="0" borderId="0" xfId="1" applyFont="1" applyBorder="1" applyAlignment="1" applyProtection="1">
      <alignment horizontal="left" vertical="center"/>
    </xf>
    <xf numFmtId="181" fontId="5" fillId="0" borderId="0" xfId="2" applyNumberFormat="1" applyFont="1" applyFill="1" applyBorder="1" applyAlignment="1" applyProtection="1">
      <alignment vertical="center"/>
    </xf>
    <xf numFmtId="180" fontId="5" fillId="4" borderId="9" xfId="1" applyNumberFormat="1" applyFont="1" applyFill="1" applyBorder="1" applyAlignment="1" applyProtection="1">
      <alignment vertical="center"/>
      <protection locked="0"/>
    </xf>
    <xf numFmtId="180" fontId="5" fillId="0" borderId="9" xfId="0" applyNumberFormat="1" applyFont="1" applyBorder="1" applyAlignment="1">
      <alignment horizontal="right" vertical="center"/>
    </xf>
    <xf numFmtId="0" fontId="5" fillId="0" borderId="9" xfId="0" applyFont="1" applyBorder="1">
      <alignment vertical="center"/>
    </xf>
    <xf numFmtId="181" fontId="5" fillId="2" borderId="9" xfId="0" applyNumberFormat="1" applyFont="1" applyFill="1" applyBorder="1">
      <alignment vertical="center"/>
    </xf>
    <xf numFmtId="177" fontId="12" fillId="0" borderId="9" xfId="1" applyNumberFormat="1" applyFont="1" applyBorder="1" applyAlignment="1" applyProtection="1">
      <alignment vertical="center"/>
    </xf>
    <xf numFmtId="177" fontId="12" fillId="0" borderId="9" xfId="1" applyNumberFormat="1" applyFont="1" applyFill="1" applyBorder="1" applyAlignment="1" applyProtection="1">
      <alignment vertical="center"/>
    </xf>
    <xf numFmtId="177" fontId="12" fillId="0" borderId="9" xfId="3" applyNumberFormat="1" applyFont="1" applyBorder="1" applyAlignment="1" applyProtection="1">
      <alignment vertical="center"/>
    </xf>
    <xf numFmtId="177" fontId="12" fillId="0" borderId="9" xfId="3" applyNumberFormat="1" applyFont="1" applyFill="1" applyBorder="1" applyAlignment="1" applyProtection="1">
      <alignment vertical="center"/>
    </xf>
    <xf numFmtId="178" fontId="12" fillId="0" borderId="11" xfId="0" applyNumberFormat="1" applyFont="1" applyBorder="1">
      <alignment vertical="center"/>
    </xf>
    <xf numFmtId="178" fontId="12" fillId="3" borderId="11" xfId="0" applyNumberFormat="1" applyFont="1" applyFill="1" applyBorder="1">
      <alignment vertical="center"/>
    </xf>
    <xf numFmtId="178" fontId="16" fillId="3" borderId="9" xfId="0" applyNumberFormat="1" applyFont="1" applyFill="1" applyBorder="1" applyAlignment="1">
      <alignment horizontal="right" vertical="center"/>
    </xf>
    <xf numFmtId="179" fontId="12" fillId="0" borderId="9" xfId="0" applyNumberFormat="1" applyFont="1" applyBorder="1" applyAlignment="1">
      <alignment vertical="center" shrinkToFit="1"/>
    </xf>
    <xf numFmtId="177" fontId="12" fillId="0" borderId="16" xfId="1" applyNumberFormat="1" applyFont="1" applyBorder="1" applyAlignment="1" applyProtection="1">
      <alignment vertical="center"/>
    </xf>
    <xf numFmtId="177" fontId="12" fillId="0" borderId="16" xfId="1" applyNumberFormat="1" applyFont="1" applyFill="1" applyBorder="1" applyAlignment="1" applyProtection="1">
      <alignment vertical="center"/>
    </xf>
    <xf numFmtId="177" fontId="12" fillId="0" borderId="16" xfId="3" applyNumberFormat="1" applyFont="1" applyFill="1" applyBorder="1" applyAlignment="1" applyProtection="1">
      <alignment vertical="center"/>
    </xf>
    <xf numFmtId="0" fontId="17" fillId="5" borderId="0" xfId="0" applyFont="1" applyFill="1" applyAlignment="1">
      <alignment vertical="center" wrapText="1"/>
    </xf>
    <xf numFmtId="0" fontId="18" fillId="5" borderId="0" xfId="0" applyFont="1" applyFill="1" applyAlignment="1">
      <alignment vertical="center"/>
    </xf>
    <xf numFmtId="0" fontId="14" fillId="0" borderId="1" xfId="0" applyFont="1" applyBorder="1" applyAlignment="1" applyProtection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176" fontId="7" fillId="2" borderId="1" xfId="0" applyNumberFormat="1" applyFont="1" applyFill="1" applyBorder="1" applyAlignment="1" applyProtection="1">
      <alignment vertical="center"/>
    </xf>
    <xf numFmtId="176" fontId="7" fillId="2" borderId="3" xfId="0" applyNumberFormat="1" applyFont="1" applyFill="1" applyBorder="1" applyAlignment="1" applyProtection="1">
      <alignment vertical="center"/>
    </xf>
    <xf numFmtId="176" fontId="7" fillId="2" borderId="6" xfId="0" applyNumberFormat="1" applyFont="1" applyFill="1" applyBorder="1" applyAlignment="1" applyProtection="1">
      <alignment vertical="center"/>
    </xf>
    <xf numFmtId="176" fontId="7" fillId="2" borderId="8" xfId="0" applyNumberFormat="1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76" fontId="7" fillId="2" borderId="1" xfId="0" applyNumberFormat="1" applyFont="1" applyFill="1" applyBorder="1">
      <alignment vertical="center"/>
    </xf>
    <xf numFmtId="176" fontId="7" fillId="2" borderId="3" xfId="0" applyNumberFormat="1" applyFont="1" applyFill="1" applyBorder="1">
      <alignment vertical="center"/>
    </xf>
    <xf numFmtId="176" fontId="7" fillId="2" borderId="6" xfId="0" applyNumberFormat="1" applyFont="1" applyFill="1" applyBorder="1">
      <alignment vertical="center"/>
    </xf>
    <xf numFmtId="176" fontId="7" fillId="2" borderId="8" xfId="0" applyNumberFormat="1" applyFont="1" applyFill="1" applyBorder="1">
      <alignment vertical="center"/>
    </xf>
    <xf numFmtId="0" fontId="5" fillId="0" borderId="10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6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>
      <alignment vertical="center"/>
    </xf>
    <xf numFmtId="0" fontId="10" fillId="0" borderId="9" xfId="0" applyFont="1" applyBorder="1">
      <alignment vertical="center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176" fontId="5" fillId="3" borderId="9" xfId="0" applyNumberFormat="1" applyFont="1" applyFill="1" applyBorder="1" applyAlignment="1">
      <alignment vertical="center" shrinkToFit="1"/>
    </xf>
    <xf numFmtId="176" fontId="5" fillId="3" borderId="16" xfId="0" applyNumberFormat="1" applyFont="1" applyFill="1" applyBorder="1" applyAlignment="1">
      <alignment vertical="center" shrinkToFit="1"/>
    </xf>
  </cellXfs>
  <cellStyles count="4">
    <cellStyle name="パーセント" xfId="2" builtinId="5"/>
    <cellStyle name="桁区切り" xfId="1" builtinId="6"/>
    <cellStyle name="桁区切り 10" xfId="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16648</xdr:colOff>
      <xdr:row>1</xdr:row>
      <xdr:rowOff>99359</xdr:rowOff>
    </xdr:from>
    <xdr:to>
      <xdr:col>19</xdr:col>
      <xdr:colOff>1054847</xdr:colOff>
      <xdr:row>4</xdr:row>
      <xdr:rowOff>14792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80348" y="391459"/>
          <a:ext cx="5483199" cy="613933"/>
        </a:xfrm>
        <a:prstGeom prst="rect">
          <a:avLst/>
        </a:prstGeom>
        <a:solidFill>
          <a:srgbClr val="CCFFCC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2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2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料金は全て税込表示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en-US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市は、今後基準値（</a:t>
          </a:r>
          <a:r>
            <a:rPr lang="en-US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R5</a:t>
          </a:r>
          <a:r>
            <a:rPr lang="ja-JP" altLang="en-US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実績）の</a:t>
          </a:r>
          <a:r>
            <a:rPr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使用電力量を上回り、又は下回ることができる。</a:t>
          </a:r>
          <a:endParaRPr kumimoji="1"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1343</xdr:colOff>
      <xdr:row>45</xdr:row>
      <xdr:rowOff>225332</xdr:rowOff>
    </xdr:from>
    <xdr:to>
      <xdr:col>15</xdr:col>
      <xdr:colOff>631371</xdr:colOff>
      <xdr:row>49</xdr:row>
      <xdr:rowOff>213360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528383" y="10893332"/>
          <a:ext cx="10322668" cy="922748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-601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</a:t>
          </a:r>
          <a:r>
            <a:rPr kumimoji="1"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される額」では、あらかじめ差額の</a:t>
          </a:r>
          <a:r>
            <a:rPr kumimoji="1" lang="en-US" altLang="ja-JP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601</a:t>
          </a:r>
          <a:r>
            <a:rPr kumimoji="1" lang="ja-JP" altLang="ja-JP" sz="1200">
              <a:solidFill>
                <a:srgbClr val="FF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円</a:t>
          </a:r>
          <a:r>
            <a:rPr kumimoji="1"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を差し引いています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。</a:t>
          </a:r>
        </a:p>
      </xdr:txBody>
    </xdr:sp>
    <xdr:clientData/>
  </xdr:twoCellAnchor>
  <xdr:twoCellAnchor>
    <xdr:from>
      <xdr:col>4</xdr:col>
      <xdr:colOff>9727</xdr:colOff>
      <xdr:row>24</xdr:row>
      <xdr:rowOff>298314</xdr:rowOff>
    </xdr:from>
    <xdr:to>
      <xdr:col>5</xdr:col>
      <xdr:colOff>0</xdr:colOff>
      <xdr:row>25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cxnSpLocks/>
        </xdr:cNvCxnSpPr>
      </xdr:nvCxnSpPr>
      <xdr:spPr>
        <a:xfrm flipV="1">
          <a:off x="5221807" y="743063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301558</xdr:colOff>
      <xdr:row>48</xdr:row>
      <xdr:rowOff>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 flipV="1">
          <a:off x="5212080" y="14264640"/>
          <a:ext cx="301558" cy="1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413657</xdr:colOff>
      <xdr:row>44</xdr:row>
      <xdr:rowOff>21771</xdr:rowOff>
    </xdr:from>
    <xdr:to>
      <xdr:col>11</xdr:col>
      <xdr:colOff>143435</xdr:colOff>
      <xdr:row>45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559437" y="13097691"/>
          <a:ext cx="3265458" cy="42780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15</xdr:col>
      <xdr:colOff>518160</xdr:colOff>
      <xdr:row>28</xdr:row>
      <xdr:rowOff>20320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5527040" y="5527040"/>
          <a:ext cx="10210800" cy="118872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-4,989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4,989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7</xdr:col>
      <xdr:colOff>20320</xdr:colOff>
      <xdr:row>39</xdr:row>
      <xdr:rowOff>132080</xdr:rowOff>
    </xdr:from>
    <xdr:to>
      <xdr:col>7</xdr:col>
      <xdr:colOff>413657</xdr:colOff>
      <xdr:row>44</xdr:row>
      <xdr:rowOff>203926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>
          <a:stCxn id="7" idx="1"/>
        </xdr:cNvCxnSpPr>
      </xdr:nvCxnSpPr>
      <xdr:spPr>
        <a:xfrm flipH="1" flipV="1">
          <a:off x="8168640" y="9398000"/>
          <a:ext cx="393337" cy="1240246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233083</xdr:colOff>
      <xdr:row>21</xdr:row>
      <xdr:rowOff>65313</xdr:rowOff>
    </xdr:from>
    <xdr:to>
      <xdr:col>7</xdr:col>
      <xdr:colOff>98612</xdr:colOff>
      <xdr:row>22</xdr:row>
      <xdr:rowOff>195942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5757583" y="6306093"/>
          <a:ext cx="2486809" cy="42780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17</xdr:row>
      <xdr:rowOff>174172</xdr:rowOff>
    </xdr:from>
    <xdr:to>
      <xdr:col>5</xdr:col>
      <xdr:colOff>233083</xdr:colOff>
      <xdr:row>21</xdr:row>
      <xdr:rowOff>278545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>
          <a:stCxn id="11" idx="1"/>
        </xdr:cNvCxnSpPr>
      </xdr:nvCxnSpPr>
      <xdr:spPr>
        <a:xfrm flipH="1" flipV="1">
          <a:off x="5233853" y="5226232"/>
          <a:ext cx="523730" cy="129309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21</xdr:row>
      <xdr:rowOff>54430</xdr:rowOff>
    </xdr:from>
    <xdr:to>
      <xdr:col>11</xdr:col>
      <xdr:colOff>108856</xdr:colOff>
      <xdr:row>22</xdr:row>
      <xdr:rowOff>185059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8505006" y="6295210"/>
          <a:ext cx="3285310" cy="42780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40640</xdr:colOff>
      <xdr:row>16</xdr:row>
      <xdr:rowOff>152400</xdr:rowOff>
    </xdr:from>
    <xdr:to>
      <xdr:col>7</xdr:col>
      <xdr:colOff>359226</xdr:colOff>
      <xdr:row>22</xdr:row>
      <xdr:rowOff>2905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>
          <a:stCxn id="13" idx="1"/>
        </xdr:cNvCxnSpPr>
      </xdr:nvCxnSpPr>
      <xdr:spPr>
        <a:xfrm flipH="1" flipV="1">
          <a:off x="8188960" y="4043680"/>
          <a:ext cx="318586" cy="125258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307359</xdr:colOff>
      <xdr:row>1</xdr:row>
      <xdr:rowOff>23905</xdr:rowOff>
    </xdr:from>
    <xdr:to>
      <xdr:col>10</xdr:col>
      <xdr:colOff>599440</xdr:colOff>
      <xdr:row>4</xdr:row>
      <xdr:rowOff>172720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5519439" y="318545"/>
          <a:ext cx="5880081" cy="84985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各施設、</a:t>
          </a:r>
          <a:r>
            <a:rPr kumimoji="1" lang="en-US" altLang="ja-JP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【A】【B】</a:t>
          </a:r>
          <a:r>
            <a:rPr kumimoji="1" lang="ja-JP" altLang="en-US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を入力のうえで提出してください。</a:t>
          </a:r>
          <a:endParaRPr kumimoji="1" lang="en-US" altLang="ja-JP" sz="180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ctr"/>
          <a:r>
            <a:rPr kumimoji="1" lang="en-US" altLang="ja-JP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※【A】</a:t>
          </a:r>
          <a:r>
            <a:rPr kumimoji="1" lang="ja-JP" altLang="en-US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は守山小学校のみ</a:t>
          </a:r>
        </a:p>
      </xdr:txBody>
    </xdr:sp>
    <xdr:clientData/>
  </xdr:twoCellAnchor>
  <xdr:twoCellAnchor>
    <xdr:from>
      <xdr:col>4</xdr:col>
      <xdr:colOff>9727</xdr:colOff>
      <xdr:row>70</xdr:row>
      <xdr:rowOff>298314</xdr:rowOff>
    </xdr:from>
    <xdr:to>
      <xdr:col>5</xdr:col>
      <xdr:colOff>0</xdr:colOff>
      <xdr:row>71</xdr:row>
      <xdr:rowOff>0</xdr:rowOff>
    </xdr:to>
    <xdr:cxnSp macro="">
      <xdr:nvCxnSpPr>
        <xdr:cNvPr id="156" name="直線矢印コネクタ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69</xdr:row>
      <xdr:rowOff>0</xdr:rowOff>
    </xdr:from>
    <xdr:to>
      <xdr:col>15</xdr:col>
      <xdr:colOff>518160</xdr:colOff>
      <xdr:row>73</xdr:row>
      <xdr:rowOff>10160</xdr:rowOff>
    </xdr:to>
    <xdr:sp macro="" textlink="">
      <xdr:nvSpPr>
        <xdr:cNvPr id="157" name="テキスト ボックス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5527040" y="16276320"/>
          <a:ext cx="10210800" cy="94488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-1,030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1,030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67</xdr:row>
      <xdr:rowOff>54430</xdr:rowOff>
    </xdr:from>
    <xdr:to>
      <xdr:col>11</xdr:col>
      <xdr:colOff>108856</xdr:colOff>
      <xdr:row>68</xdr:row>
      <xdr:rowOff>185059</xdr:rowOff>
    </xdr:to>
    <xdr:sp macro="" textlink="">
      <xdr:nvSpPr>
        <xdr:cNvPr id="160" name="テキスト ボックス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30480</xdr:colOff>
      <xdr:row>62</xdr:row>
      <xdr:rowOff>132080</xdr:rowOff>
    </xdr:from>
    <xdr:to>
      <xdr:col>7</xdr:col>
      <xdr:colOff>359226</xdr:colOff>
      <xdr:row>68</xdr:row>
      <xdr:rowOff>2905</xdr:rowOff>
    </xdr:to>
    <xdr:cxnSp macro="">
      <xdr:nvCxnSpPr>
        <xdr:cNvPr id="161" name="直線矢印コネクタ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CxnSpPr>
          <a:stCxn id="160" idx="1"/>
        </xdr:cNvCxnSpPr>
      </xdr:nvCxnSpPr>
      <xdr:spPr>
        <a:xfrm flipH="1" flipV="1">
          <a:off x="8178800" y="14772640"/>
          <a:ext cx="328746" cy="12729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94</xdr:row>
      <xdr:rowOff>298314</xdr:rowOff>
    </xdr:from>
    <xdr:to>
      <xdr:col>5</xdr:col>
      <xdr:colOff>0</xdr:colOff>
      <xdr:row>95</xdr:row>
      <xdr:rowOff>0</xdr:rowOff>
    </xdr:to>
    <xdr:cxnSp macro="">
      <xdr:nvCxnSpPr>
        <xdr:cNvPr id="164" name="直線矢印コネクタ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93</xdr:row>
      <xdr:rowOff>0</xdr:rowOff>
    </xdr:from>
    <xdr:to>
      <xdr:col>15</xdr:col>
      <xdr:colOff>518160</xdr:colOff>
      <xdr:row>96</xdr:row>
      <xdr:rowOff>223520</xdr:rowOff>
    </xdr:to>
    <xdr:sp macro="" textlink="">
      <xdr:nvSpPr>
        <xdr:cNvPr id="165" name="テキスト ボックス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5527040" y="21884640"/>
          <a:ext cx="10210800" cy="9245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-350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350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91</xdr:row>
      <xdr:rowOff>54430</xdr:rowOff>
    </xdr:from>
    <xdr:to>
      <xdr:col>11</xdr:col>
      <xdr:colOff>108856</xdr:colOff>
      <xdr:row>92</xdr:row>
      <xdr:rowOff>185059</xdr:rowOff>
    </xdr:to>
    <xdr:sp macro="" textlink="">
      <xdr:nvSpPr>
        <xdr:cNvPr id="168" name="テキスト ボックス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20320</xdr:colOff>
      <xdr:row>86</xdr:row>
      <xdr:rowOff>142240</xdr:rowOff>
    </xdr:from>
    <xdr:to>
      <xdr:col>7</xdr:col>
      <xdr:colOff>359226</xdr:colOff>
      <xdr:row>92</xdr:row>
      <xdr:rowOff>2905</xdr:rowOff>
    </xdr:to>
    <xdr:cxnSp macro="">
      <xdr:nvCxnSpPr>
        <xdr:cNvPr id="169" name="直線矢印コネクタ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CxnSpPr>
          <a:stCxn id="168" idx="1"/>
        </xdr:cNvCxnSpPr>
      </xdr:nvCxnSpPr>
      <xdr:spPr>
        <a:xfrm flipH="1" flipV="1">
          <a:off x="8168640" y="20391120"/>
          <a:ext cx="338906" cy="126274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117</xdr:row>
      <xdr:rowOff>298314</xdr:rowOff>
    </xdr:from>
    <xdr:to>
      <xdr:col>5</xdr:col>
      <xdr:colOff>0</xdr:colOff>
      <xdr:row>118</xdr:row>
      <xdr:rowOff>0</xdr:rowOff>
    </xdr:to>
    <xdr:cxnSp macro="">
      <xdr:nvCxnSpPr>
        <xdr:cNvPr id="172" name="直線矢印コネクタ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116</xdr:row>
      <xdr:rowOff>0</xdr:rowOff>
    </xdr:from>
    <xdr:to>
      <xdr:col>15</xdr:col>
      <xdr:colOff>518160</xdr:colOff>
      <xdr:row>119</xdr:row>
      <xdr:rowOff>223520</xdr:rowOff>
    </xdr:to>
    <xdr:sp macro="" textlink="">
      <xdr:nvSpPr>
        <xdr:cNvPr id="173" name="テキスト ボックス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5527040" y="27259280"/>
          <a:ext cx="10210800" cy="9245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-129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129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114</xdr:row>
      <xdr:rowOff>54430</xdr:rowOff>
    </xdr:from>
    <xdr:to>
      <xdr:col>11</xdr:col>
      <xdr:colOff>108856</xdr:colOff>
      <xdr:row>115</xdr:row>
      <xdr:rowOff>185059</xdr:rowOff>
    </xdr:to>
    <xdr:sp macro="" textlink="">
      <xdr:nvSpPr>
        <xdr:cNvPr id="176" name="テキスト ボックス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30480</xdr:colOff>
      <xdr:row>109</xdr:row>
      <xdr:rowOff>152400</xdr:rowOff>
    </xdr:from>
    <xdr:to>
      <xdr:col>7</xdr:col>
      <xdr:colOff>359226</xdr:colOff>
      <xdr:row>115</xdr:row>
      <xdr:rowOff>2905</xdr:rowOff>
    </xdr:to>
    <xdr:cxnSp macro="">
      <xdr:nvCxnSpPr>
        <xdr:cNvPr id="177" name="直線矢印コネクタ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CxnSpPr>
          <a:stCxn id="176" idx="1"/>
        </xdr:cNvCxnSpPr>
      </xdr:nvCxnSpPr>
      <xdr:spPr>
        <a:xfrm flipH="1" flipV="1">
          <a:off x="8178800" y="25775920"/>
          <a:ext cx="328746" cy="125258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141</xdr:row>
      <xdr:rowOff>298314</xdr:rowOff>
    </xdr:from>
    <xdr:to>
      <xdr:col>5</xdr:col>
      <xdr:colOff>0</xdr:colOff>
      <xdr:row>142</xdr:row>
      <xdr:rowOff>0</xdr:rowOff>
    </xdr:to>
    <xdr:cxnSp macro="">
      <xdr:nvCxnSpPr>
        <xdr:cNvPr id="180" name="直線矢印コネクタ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140</xdr:row>
      <xdr:rowOff>0</xdr:rowOff>
    </xdr:from>
    <xdr:to>
      <xdr:col>15</xdr:col>
      <xdr:colOff>518160</xdr:colOff>
      <xdr:row>144</xdr:row>
      <xdr:rowOff>10160</xdr:rowOff>
    </xdr:to>
    <xdr:sp macro="" textlink="">
      <xdr:nvSpPr>
        <xdr:cNvPr id="181" name="テキスト ボックス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5527040" y="32867600"/>
          <a:ext cx="10210800" cy="94488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-1,893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1,893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138</xdr:row>
      <xdr:rowOff>54430</xdr:rowOff>
    </xdr:from>
    <xdr:to>
      <xdr:col>11</xdr:col>
      <xdr:colOff>108856</xdr:colOff>
      <xdr:row>139</xdr:row>
      <xdr:rowOff>185059</xdr:rowOff>
    </xdr:to>
    <xdr:sp macro="" textlink="">
      <xdr:nvSpPr>
        <xdr:cNvPr id="184" name="テキスト ボックス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20320</xdr:colOff>
      <xdr:row>133</xdr:row>
      <xdr:rowOff>132080</xdr:rowOff>
    </xdr:from>
    <xdr:to>
      <xdr:col>7</xdr:col>
      <xdr:colOff>359226</xdr:colOff>
      <xdr:row>139</xdr:row>
      <xdr:rowOff>2905</xdr:rowOff>
    </xdr:to>
    <xdr:cxnSp macro="">
      <xdr:nvCxnSpPr>
        <xdr:cNvPr id="185" name="直線矢印コネクタ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CxnSpPr>
          <a:stCxn id="184" idx="1"/>
        </xdr:cNvCxnSpPr>
      </xdr:nvCxnSpPr>
      <xdr:spPr>
        <a:xfrm flipH="1" flipV="1">
          <a:off x="8168640" y="31363920"/>
          <a:ext cx="338906" cy="12729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164</xdr:row>
      <xdr:rowOff>298314</xdr:rowOff>
    </xdr:from>
    <xdr:to>
      <xdr:col>5</xdr:col>
      <xdr:colOff>0</xdr:colOff>
      <xdr:row>165</xdr:row>
      <xdr:rowOff>0</xdr:rowOff>
    </xdr:to>
    <xdr:cxnSp macro="">
      <xdr:nvCxnSpPr>
        <xdr:cNvPr id="188" name="直線矢印コネクタ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163</xdr:row>
      <xdr:rowOff>0</xdr:rowOff>
    </xdr:from>
    <xdr:to>
      <xdr:col>15</xdr:col>
      <xdr:colOff>518160</xdr:colOff>
      <xdr:row>166</xdr:row>
      <xdr:rowOff>223520</xdr:rowOff>
    </xdr:to>
    <xdr:sp macro="" textlink="">
      <xdr:nvSpPr>
        <xdr:cNvPr id="189" name="テキスト ボックス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5527040" y="38242240"/>
          <a:ext cx="10210800" cy="9245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-4,185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4,185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7</xdr:col>
      <xdr:colOff>359226</xdr:colOff>
      <xdr:row>161</xdr:row>
      <xdr:rowOff>54430</xdr:rowOff>
    </xdr:from>
    <xdr:to>
      <xdr:col>11</xdr:col>
      <xdr:colOff>108856</xdr:colOff>
      <xdr:row>162</xdr:row>
      <xdr:rowOff>185059</xdr:rowOff>
    </xdr:to>
    <xdr:sp macro="" textlink="">
      <xdr:nvSpPr>
        <xdr:cNvPr id="192" name="テキスト ボックス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20320</xdr:colOff>
      <xdr:row>156</xdr:row>
      <xdr:rowOff>142240</xdr:rowOff>
    </xdr:from>
    <xdr:to>
      <xdr:col>7</xdr:col>
      <xdr:colOff>359226</xdr:colOff>
      <xdr:row>162</xdr:row>
      <xdr:rowOff>2905</xdr:rowOff>
    </xdr:to>
    <xdr:cxnSp macro="">
      <xdr:nvCxnSpPr>
        <xdr:cNvPr id="193" name="直線矢印コネクタ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CxnSpPr>
          <a:stCxn id="192" idx="1"/>
        </xdr:cNvCxnSpPr>
      </xdr:nvCxnSpPr>
      <xdr:spPr>
        <a:xfrm flipH="1" flipV="1">
          <a:off x="8168640" y="36748720"/>
          <a:ext cx="338906" cy="126274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188</xdr:row>
      <xdr:rowOff>298314</xdr:rowOff>
    </xdr:from>
    <xdr:to>
      <xdr:col>5</xdr:col>
      <xdr:colOff>0</xdr:colOff>
      <xdr:row>189</xdr:row>
      <xdr:rowOff>0</xdr:rowOff>
    </xdr:to>
    <xdr:cxnSp macro="">
      <xdr:nvCxnSpPr>
        <xdr:cNvPr id="196" name="直線矢印コネクタ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187</xdr:row>
      <xdr:rowOff>0</xdr:rowOff>
    </xdr:from>
    <xdr:to>
      <xdr:col>15</xdr:col>
      <xdr:colOff>518160</xdr:colOff>
      <xdr:row>191</xdr:row>
      <xdr:rowOff>10160</xdr:rowOff>
    </xdr:to>
    <xdr:sp macro="" textlink="">
      <xdr:nvSpPr>
        <xdr:cNvPr id="197" name="テキスト ボックス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5527040" y="43850560"/>
          <a:ext cx="10210800" cy="94488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ら削減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-1,005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1,005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185</xdr:row>
      <xdr:rowOff>54430</xdr:rowOff>
    </xdr:from>
    <xdr:to>
      <xdr:col>11</xdr:col>
      <xdr:colOff>108856</xdr:colOff>
      <xdr:row>186</xdr:row>
      <xdr:rowOff>185059</xdr:rowOff>
    </xdr:to>
    <xdr:sp macro="" textlink="">
      <xdr:nvSpPr>
        <xdr:cNvPr id="200" name="テキスト ボックス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20320</xdr:colOff>
      <xdr:row>180</xdr:row>
      <xdr:rowOff>132080</xdr:rowOff>
    </xdr:from>
    <xdr:to>
      <xdr:col>7</xdr:col>
      <xdr:colOff>359226</xdr:colOff>
      <xdr:row>186</xdr:row>
      <xdr:rowOff>2905</xdr:rowOff>
    </xdr:to>
    <xdr:cxnSp macro="">
      <xdr:nvCxnSpPr>
        <xdr:cNvPr id="201" name="直線矢印コネクタ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CxnSpPr>
          <a:stCxn id="200" idx="1"/>
        </xdr:cNvCxnSpPr>
      </xdr:nvCxnSpPr>
      <xdr:spPr>
        <a:xfrm flipH="1" flipV="1">
          <a:off x="8168640" y="42346880"/>
          <a:ext cx="338906" cy="12729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211</xdr:row>
      <xdr:rowOff>298314</xdr:rowOff>
    </xdr:from>
    <xdr:to>
      <xdr:col>5</xdr:col>
      <xdr:colOff>0</xdr:colOff>
      <xdr:row>212</xdr:row>
      <xdr:rowOff>0</xdr:rowOff>
    </xdr:to>
    <xdr:cxnSp macro="">
      <xdr:nvCxnSpPr>
        <xdr:cNvPr id="204" name="直線矢印コネクタ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210</xdr:row>
      <xdr:rowOff>0</xdr:rowOff>
    </xdr:from>
    <xdr:to>
      <xdr:col>15</xdr:col>
      <xdr:colOff>518160</xdr:colOff>
      <xdr:row>214</xdr:row>
      <xdr:rowOff>10160</xdr:rowOff>
    </xdr:to>
    <xdr:sp macro="" textlink="">
      <xdr:nvSpPr>
        <xdr:cNvPr id="205" name="テキスト ボックス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5527040" y="49225200"/>
          <a:ext cx="10210800" cy="94488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-525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525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208</xdr:row>
      <xdr:rowOff>54430</xdr:rowOff>
    </xdr:from>
    <xdr:to>
      <xdr:col>11</xdr:col>
      <xdr:colOff>108856</xdr:colOff>
      <xdr:row>209</xdr:row>
      <xdr:rowOff>185059</xdr:rowOff>
    </xdr:to>
    <xdr:sp macro="" textlink="">
      <xdr:nvSpPr>
        <xdr:cNvPr id="208" name="テキスト ボックス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10160</xdr:colOff>
      <xdr:row>203</xdr:row>
      <xdr:rowOff>132080</xdr:rowOff>
    </xdr:from>
    <xdr:to>
      <xdr:col>7</xdr:col>
      <xdr:colOff>359226</xdr:colOff>
      <xdr:row>209</xdr:row>
      <xdr:rowOff>2905</xdr:rowOff>
    </xdr:to>
    <xdr:cxnSp macro="">
      <xdr:nvCxnSpPr>
        <xdr:cNvPr id="209" name="直線矢印コネクタ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CxnSpPr>
          <a:stCxn id="208" idx="1"/>
        </xdr:cNvCxnSpPr>
      </xdr:nvCxnSpPr>
      <xdr:spPr>
        <a:xfrm flipH="1" flipV="1">
          <a:off x="8158480" y="47721520"/>
          <a:ext cx="349066" cy="12729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235</xdr:row>
      <xdr:rowOff>298314</xdr:rowOff>
    </xdr:from>
    <xdr:to>
      <xdr:col>5</xdr:col>
      <xdr:colOff>0</xdr:colOff>
      <xdr:row>236</xdr:row>
      <xdr:rowOff>0</xdr:rowOff>
    </xdr:to>
    <xdr:cxnSp macro="">
      <xdr:nvCxnSpPr>
        <xdr:cNvPr id="212" name="直線矢印コネクタ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234</xdr:row>
      <xdr:rowOff>0</xdr:rowOff>
    </xdr:from>
    <xdr:to>
      <xdr:col>15</xdr:col>
      <xdr:colOff>518160</xdr:colOff>
      <xdr:row>238</xdr:row>
      <xdr:rowOff>10160</xdr:rowOff>
    </xdr:to>
    <xdr:sp macro="" textlink="">
      <xdr:nvSpPr>
        <xdr:cNvPr id="213" name="テキスト ボックス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5527040" y="54833520"/>
          <a:ext cx="10210800" cy="94488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削減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-4,627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そのため、⑧「基準年間電気料金から削減される額」では、あらかじめ差額の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4,627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円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を差し引いています。</a:t>
          </a:r>
        </a:p>
      </xdr:txBody>
    </xdr:sp>
    <xdr:clientData/>
  </xdr:twoCellAnchor>
  <xdr:twoCellAnchor>
    <xdr:from>
      <xdr:col>7</xdr:col>
      <xdr:colOff>359226</xdr:colOff>
      <xdr:row>232</xdr:row>
      <xdr:rowOff>54430</xdr:rowOff>
    </xdr:from>
    <xdr:to>
      <xdr:col>11</xdr:col>
      <xdr:colOff>108856</xdr:colOff>
      <xdr:row>233</xdr:row>
      <xdr:rowOff>185059</xdr:rowOff>
    </xdr:to>
    <xdr:sp macro="" textlink="">
      <xdr:nvSpPr>
        <xdr:cNvPr id="216" name="テキスト ボックス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7</xdr:col>
      <xdr:colOff>30480</xdr:colOff>
      <xdr:row>227</xdr:row>
      <xdr:rowOff>132080</xdr:rowOff>
    </xdr:from>
    <xdr:to>
      <xdr:col>7</xdr:col>
      <xdr:colOff>359226</xdr:colOff>
      <xdr:row>233</xdr:row>
      <xdr:rowOff>2905</xdr:rowOff>
    </xdr:to>
    <xdr:cxnSp macro="">
      <xdr:nvCxnSpPr>
        <xdr:cNvPr id="217" name="直線矢印コネクタ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CxnSpPr>
          <a:stCxn id="216" idx="1"/>
        </xdr:cNvCxnSpPr>
      </xdr:nvCxnSpPr>
      <xdr:spPr>
        <a:xfrm flipH="1" flipV="1">
          <a:off x="8178800" y="53329840"/>
          <a:ext cx="328746" cy="12729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702448</xdr:colOff>
      <xdr:row>4</xdr:row>
      <xdr:rowOff>188259</xdr:rowOff>
    </xdr:from>
    <xdr:to>
      <xdr:col>19</xdr:col>
      <xdr:colOff>851647</xdr:colOff>
      <xdr:row>6</xdr:row>
      <xdr:rowOff>251012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151748" y="1178859"/>
          <a:ext cx="5452719" cy="603773"/>
        </a:xfrm>
        <a:prstGeom prst="rect">
          <a:avLst/>
        </a:prstGeom>
        <a:solidFill>
          <a:srgbClr val="CCFFCC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ja-JP" sz="12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200" b="0" i="0" u="none" strike="noStrike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料金は全て税込表示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 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lang="en-US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</a:t>
          </a:r>
          <a:r>
            <a:rPr lang="ja-JP" altLang="en-US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市は、今後基準値（</a:t>
          </a:r>
          <a:r>
            <a:rPr lang="en-US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R5</a:t>
          </a:r>
          <a:r>
            <a:rPr lang="ja-JP" altLang="en-US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実績）の</a:t>
          </a:r>
          <a:r>
            <a:rPr lang="ja-JP" altLang="ja-JP" sz="1200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使用電力量を上回り、又は下回ることができる。</a:t>
          </a:r>
          <a:endParaRPr kumimoji="1" lang="ja-JP" altLang="en-US" sz="12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5</xdr:col>
      <xdr:colOff>1343</xdr:colOff>
      <xdr:row>45</xdr:row>
      <xdr:rowOff>225332</xdr:rowOff>
    </xdr:from>
    <xdr:to>
      <xdr:col>15</xdr:col>
      <xdr:colOff>631371</xdr:colOff>
      <xdr:row>49</xdr:row>
      <xdr:rowOff>182880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5525843" y="10771412"/>
          <a:ext cx="10322668" cy="871948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-1,196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1,196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4</xdr:col>
      <xdr:colOff>9727</xdr:colOff>
      <xdr:row>24</xdr:row>
      <xdr:rowOff>298314</xdr:rowOff>
    </xdr:from>
    <xdr:to>
      <xdr:col>5</xdr:col>
      <xdr:colOff>0</xdr:colOff>
      <xdr:row>25</xdr:row>
      <xdr:rowOff>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>
          <a:cxnSpLocks/>
        </xdr:cNvCxnSpPr>
      </xdr:nvCxnSpPr>
      <xdr:spPr>
        <a:xfrm flipV="1">
          <a:off x="5221807" y="59294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301558</xdr:colOff>
      <xdr:row>48</xdr:row>
      <xdr:rowOff>1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5212080" y="11231880"/>
          <a:ext cx="301558" cy="1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206189</xdr:colOff>
      <xdr:row>44</xdr:row>
      <xdr:rowOff>21770</xdr:rowOff>
    </xdr:from>
    <xdr:to>
      <xdr:col>7</xdr:col>
      <xdr:colOff>44824</xdr:colOff>
      <xdr:row>45</xdr:row>
      <xdr:rowOff>152399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5730689" y="10339250"/>
          <a:ext cx="2459915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7</xdr:col>
      <xdr:colOff>413657</xdr:colOff>
      <xdr:row>44</xdr:row>
      <xdr:rowOff>21771</xdr:rowOff>
    </xdr:from>
    <xdr:to>
      <xdr:col>11</xdr:col>
      <xdr:colOff>143435</xdr:colOff>
      <xdr:row>45</xdr:row>
      <xdr:rowOff>152400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8559437" y="10339251"/>
          <a:ext cx="3265458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5</xdr:col>
      <xdr:colOff>0</xdr:colOff>
      <xdr:row>23</xdr:row>
      <xdr:rowOff>0</xdr:rowOff>
    </xdr:from>
    <xdr:to>
      <xdr:col>15</xdr:col>
      <xdr:colOff>518160</xdr:colOff>
      <xdr:row>26</xdr:row>
      <xdr:rowOff>175260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5524500" y="547116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-4,989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4,989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4</xdr:col>
      <xdr:colOff>35859</xdr:colOff>
      <xdr:row>40</xdr:row>
      <xdr:rowOff>197223</xdr:rowOff>
    </xdr:from>
    <xdr:to>
      <xdr:col>5</xdr:col>
      <xdr:colOff>206189</xdr:colOff>
      <xdr:row>44</xdr:row>
      <xdr:rowOff>235002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>
          <a:stCxn id="6" idx="1"/>
        </xdr:cNvCxnSpPr>
      </xdr:nvCxnSpPr>
      <xdr:spPr>
        <a:xfrm flipH="1" flipV="1">
          <a:off x="5247939" y="9592683"/>
          <a:ext cx="482750" cy="952179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1730832</xdr:colOff>
      <xdr:row>39</xdr:row>
      <xdr:rowOff>185058</xdr:rowOff>
    </xdr:from>
    <xdr:to>
      <xdr:col>7</xdr:col>
      <xdr:colOff>413657</xdr:colOff>
      <xdr:row>44</xdr:row>
      <xdr:rowOff>235003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>
          <a:stCxn id="7" idx="1"/>
        </xdr:cNvCxnSpPr>
      </xdr:nvCxnSpPr>
      <xdr:spPr>
        <a:xfrm flipH="1" flipV="1">
          <a:off x="7628712" y="9344298"/>
          <a:ext cx="930725" cy="120056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233083</xdr:colOff>
      <xdr:row>21</xdr:row>
      <xdr:rowOff>65313</xdr:rowOff>
    </xdr:from>
    <xdr:to>
      <xdr:col>7</xdr:col>
      <xdr:colOff>98612</xdr:colOff>
      <xdr:row>22</xdr:row>
      <xdr:rowOff>195942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5757583" y="507927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17</xdr:row>
      <xdr:rowOff>174172</xdr:rowOff>
    </xdr:from>
    <xdr:to>
      <xdr:col>5</xdr:col>
      <xdr:colOff>233083</xdr:colOff>
      <xdr:row>21</xdr:row>
      <xdr:rowOff>278545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>
          <a:stCxn id="11" idx="1"/>
        </xdr:cNvCxnSpPr>
      </xdr:nvCxnSpPr>
      <xdr:spPr>
        <a:xfrm flipH="1" flipV="1">
          <a:off x="5233853" y="426611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21</xdr:row>
      <xdr:rowOff>54430</xdr:rowOff>
    </xdr:from>
    <xdr:to>
      <xdr:col>11</xdr:col>
      <xdr:colOff>108856</xdr:colOff>
      <xdr:row>22</xdr:row>
      <xdr:rowOff>185059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8505006" y="50683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16</xdr:row>
      <xdr:rowOff>217717</xdr:rowOff>
    </xdr:from>
    <xdr:to>
      <xdr:col>7</xdr:col>
      <xdr:colOff>359226</xdr:colOff>
      <xdr:row>21</xdr:row>
      <xdr:rowOff>266702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>
          <a:stCxn id="13" idx="1"/>
        </xdr:cNvCxnSpPr>
      </xdr:nvCxnSpPr>
      <xdr:spPr>
        <a:xfrm flipH="1" flipV="1">
          <a:off x="7574281" y="407343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2559</xdr:colOff>
      <xdr:row>2</xdr:row>
      <xdr:rowOff>125505</xdr:rowOff>
    </xdr:from>
    <xdr:to>
      <xdr:col>10</xdr:col>
      <xdr:colOff>618563</xdr:colOff>
      <xdr:row>3</xdr:row>
      <xdr:rowOff>268940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5527059" y="651285"/>
          <a:ext cx="5889044" cy="34155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各施設、</a:t>
          </a:r>
          <a:r>
            <a:rPr kumimoji="1" lang="en-US" altLang="ja-JP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【A】【B】【C】</a:t>
          </a:r>
          <a:r>
            <a:rPr kumimoji="1" lang="ja-JP" altLang="en-US" sz="18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を入力のうえで提出してください。</a:t>
          </a:r>
        </a:p>
      </xdr:txBody>
    </xdr:sp>
    <xdr:clientData/>
  </xdr:twoCellAnchor>
  <xdr:twoCellAnchor>
    <xdr:from>
      <xdr:col>5</xdr:col>
      <xdr:colOff>348342</xdr:colOff>
      <xdr:row>26</xdr:row>
      <xdr:rowOff>239484</xdr:rowOff>
    </xdr:from>
    <xdr:to>
      <xdr:col>8</xdr:col>
      <xdr:colOff>412377</xdr:colOff>
      <xdr:row>28</xdr:row>
      <xdr:rowOff>76198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5872842" y="639644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27</xdr:row>
      <xdr:rowOff>144236</xdr:rowOff>
    </xdr:from>
    <xdr:to>
      <xdr:col>5</xdr:col>
      <xdr:colOff>337457</xdr:colOff>
      <xdr:row>27</xdr:row>
      <xdr:rowOff>144237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>
        <a:xfrm flipH="1">
          <a:off x="5212081" y="653741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348340</xdr:colOff>
      <xdr:row>50</xdr:row>
      <xdr:rowOff>0</xdr:rowOff>
    </xdr:from>
    <xdr:to>
      <xdr:col>8</xdr:col>
      <xdr:colOff>519952</xdr:colOff>
      <xdr:row>51</xdr:row>
      <xdr:rowOff>132549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5872840" y="11696700"/>
          <a:ext cx="3676812" cy="36876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0</xdr:colOff>
      <xdr:row>50</xdr:row>
      <xdr:rowOff>200587</xdr:rowOff>
    </xdr:from>
    <xdr:to>
      <xdr:col>5</xdr:col>
      <xdr:colOff>337456</xdr:colOff>
      <xdr:row>50</xdr:row>
      <xdr:rowOff>200588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 flipH="1">
          <a:off x="5212080" y="11897287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70</xdr:row>
      <xdr:rowOff>298314</xdr:rowOff>
    </xdr:from>
    <xdr:to>
      <xdr:col>5</xdr:col>
      <xdr:colOff>0</xdr:colOff>
      <xdr:row>71</xdr:row>
      <xdr:rowOff>0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>
          <a:cxnSpLocks/>
        </xdr:cNvCxnSpPr>
      </xdr:nvCxnSpPr>
      <xdr:spPr>
        <a:xfrm flipV="1">
          <a:off x="5221807" y="1653653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69</xdr:row>
      <xdr:rowOff>0</xdr:rowOff>
    </xdr:from>
    <xdr:to>
      <xdr:col>15</xdr:col>
      <xdr:colOff>518160</xdr:colOff>
      <xdr:row>72</xdr:row>
      <xdr:rowOff>175260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5524500" y="1607820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-1,612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1,612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67</xdr:row>
      <xdr:rowOff>65313</xdr:rowOff>
    </xdr:from>
    <xdr:to>
      <xdr:col>7</xdr:col>
      <xdr:colOff>98612</xdr:colOff>
      <xdr:row>68</xdr:row>
      <xdr:rowOff>195942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5757583" y="1568631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63</xdr:row>
      <xdr:rowOff>174172</xdr:rowOff>
    </xdr:from>
    <xdr:to>
      <xdr:col>5</xdr:col>
      <xdr:colOff>233083</xdr:colOff>
      <xdr:row>67</xdr:row>
      <xdr:rowOff>278545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CxnSpPr>
          <a:stCxn id="22" idx="1"/>
        </xdr:cNvCxnSpPr>
      </xdr:nvCxnSpPr>
      <xdr:spPr>
        <a:xfrm flipH="1" flipV="1">
          <a:off x="5233853" y="1487315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67</xdr:row>
      <xdr:rowOff>54430</xdr:rowOff>
    </xdr:from>
    <xdr:to>
      <xdr:col>11</xdr:col>
      <xdr:colOff>108856</xdr:colOff>
      <xdr:row>68</xdr:row>
      <xdr:rowOff>185059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8505006" y="1567543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62</xdr:row>
      <xdr:rowOff>217717</xdr:rowOff>
    </xdr:from>
    <xdr:to>
      <xdr:col>7</xdr:col>
      <xdr:colOff>359226</xdr:colOff>
      <xdr:row>67</xdr:row>
      <xdr:rowOff>266702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CxnSpPr>
          <a:stCxn id="24" idx="1"/>
        </xdr:cNvCxnSpPr>
      </xdr:nvCxnSpPr>
      <xdr:spPr>
        <a:xfrm flipH="1" flipV="1">
          <a:off x="7574281" y="1468047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72</xdr:row>
      <xdr:rowOff>239484</xdr:rowOff>
    </xdr:from>
    <xdr:to>
      <xdr:col>8</xdr:col>
      <xdr:colOff>412377</xdr:colOff>
      <xdr:row>74</xdr:row>
      <xdr:rowOff>76198</xdr:rowOff>
    </xdr:to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5872842" y="1700348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73</xdr:row>
      <xdr:rowOff>144236</xdr:rowOff>
    </xdr:from>
    <xdr:to>
      <xdr:col>5</xdr:col>
      <xdr:colOff>337457</xdr:colOff>
      <xdr:row>73</xdr:row>
      <xdr:rowOff>144237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>
        <a:xfrm flipH="1">
          <a:off x="5212081" y="1714445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93</xdr:row>
      <xdr:rowOff>298314</xdr:rowOff>
    </xdr:from>
    <xdr:to>
      <xdr:col>5</xdr:col>
      <xdr:colOff>0</xdr:colOff>
      <xdr:row>94</xdr:row>
      <xdr:rowOff>0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CxnSpPr>
          <a:cxnSpLocks/>
        </xdr:cNvCxnSpPr>
      </xdr:nvCxnSpPr>
      <xdr:spPr>
        <a:xfrm flipV="1">
          <a:off x="5221807" y="2184005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92</xdr:row>
      <xdr:rowOff>0</xdr:rowOff>
    </xdr:from>
    <xdr:to>
      <xdr:col>15</xdr:col>
      <xdr:colOff>518160</xdr:colOff>
      <xdr:row>95</xdr:row>
      <xdr:rowOff>175260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5524500" y="2138172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-303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303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90</xdr:row>
      <xdr:rowOff>65313</xdr:rowOff>
    </xdr:from>
    <xdr:to>
      <xdr:col>7</xdr:col>
      <xdr:colOff>98612</xdr:colOff>
      <xdr:row>91</xdr:row>
      <xdr:rowOff>195942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5757583" y="2098983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86</xdr:row>
      <xdr:rowOff>174172</xdr:rowOff>
    </xdr:from>
    <xdr:to>
      <xdr:col>5</xdr:col>
      <xdr:colOff>233083</xdr:colOff>
      <xdr:row>90</xdr:row>
      <xdr:rowOff>278545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>
          <a:stCxn id="30" idx="1"/>
        </xdr:cNvCxnSpPr>
      </xdr:nvCxnSpPr>
      <xdr:spPr>
        <a:xfrm flipH="1" flipV="1">
          <a:off x="5233853" y="2017667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90</xdr:row>
      <xdr:rowOff>54430</xdr:rowOff>
    </xdr:from>
    <xdr:to>
      <xdr:col>11</xdr:col>
      <xdr:colOff>108856</xdr:colOff>
      <xdr:row>91</xdr:row>
      <xdr:rowOff>185059</xdr:rowOff>
    </xdr:to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8505006" y="2097895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85</xdr:row>
      <xdr:rowOff>217717</xdr:rowOff>
    </xdr:from>
    <xdr:to>
      <xdr:col>7</xdr:col>
      <xdr:colOff>359226</xdr:colOff>
      <xdr:row>90</xdr:row>
      <xdr:rowOff>266702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>
          <a:stCxn id="32" idx="1"/>
        </xdr:cNvCxnSpPr>
      </xdr:nvCxnSpPr>
      <xdr:spPr>
        <a:xfrm flipH="1" flipV="1">
          <a:off x="7574281" y="1998399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95</xdr:row>
      <xdr:rowOff>239484</xdr:rowOff>
    </xdr:from>
    <xdr:to>
      <xdr:col>8</xdr:col>
      <xdr:colOff>412377</xdr:colOff>
      <xdr:row>97</xdr:row>
      <xdr:rowOff>76198</xdr:rowOff>
    </xdr:to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5872842" y="2230700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96</xdr:row>
      <xdr:rowOff>144236</xdr:rowOff>
    </xdr:from>
    <xdr:to>
      <xdr:col>5</xdr:col>
      <xdr:colOff>337457</xdr:colOff>
      <xdr:row>96</xdr:row>
      <xdr:rowOff>144237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>
        <a:xfrm flipH="1">
          <a:off x="5212081" y="2244797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116</xdr:row>
      <xdr:rowOff>298314</xdr:rowOff>
    </xdr:from>
    <xdr:to>
      <xdr:col>5</xdr:col>
      <xdr:colOff>0</xdr:colOff>
      <xdr:row>117</xdr:row>
      <xdr:rowOff>0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cxnSpLocks/>
        </xdr:cNvCxnSpPr>
      </xdr:nvCxnSpPr>
      <xdr:spPr>
        <a:xfrm flipV="1">
          <a:off x="5221807" y="2714357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115</xdr:row>
      <xdr:rowOff>0</xdr:rowOff>
    </xdr:from>
    <xdr:to>
      <xdr:col>15</xdr:col>
      <xdr:colOff>518160</xdr:colOff>
      <xdr:row>118</xdr:row>
      <xdr:rowOff>175260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5524500" y="2668524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-345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345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113</xdr:row>
      <xdr:rowOff>65313</xdr:rowOff>
    </xdr:from>
    <xdr:to>
      <xdr:col>7</xdr:col>
      <xdr:colOff>98612</xdr:colOff>
      <xdr:row>114</xdr:row>
      <xdr:rowOff>195942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5757583" y="2629335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109</xdr:row>
      <xdr:rowOff>174172</xdr:rowOff>
    </xdr:from>
    <xdr:to>
      <xdr:col>5</xdr:col>
      <xdr:colOff>233083</xdr:colOff>
      <xdr:row>113</xdr:row>
      <xdr:rowOff>278545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>
          <a:stCxn id="38" idx="1"/>
        </xdr:cNvCxnSpPr>
      </xdr:nvCxnSpPr>
      <xdr:spPr>
        <a:xfrm flipH="1" flipV="1">
          <a:off x="5233853" y="2548019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113</xdr:row>
      <xdr:rowOff>54430</xdr:rowOff>
    </xdr:from>
    <xdr:to>
      <xdr:col>11</xdr:col>
      <xdr:colOff>108856</xdr:colOff>
      <xdr:row>114</xdr:row>
      <xdr:rowOff>185059</xdr:rowOff>
    </xdr:to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8505006" y="2628247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108</xdr:row>
      <xdr:rowOff>217717</xdr:rowOff>
    </xdr:from>
    <xdr:to>
      <xdr:col>7</xdr:col>
      <xdr:colOff>359226</xdr:colOff>
      <xdr:row>113</xdr:row>
      <xdr:rowOff>266702</xdr:rowOff>
    </xdr:to>
    <xdr:cxnSp macro="">
      <xdr:nvCxnSpPr>
        <xdr:cNvPr id="41" name="直線矢印コネクタ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>
          <a:stCxn id="40" idx="1"/>
        </xdr:cNvCxnSpPr>
      </xdr:nvCxnSpPr>
      <xdr:spPr>
        <a:xfrm flipH="1" flipV="1">
          <a:off x="7574281" y="2528751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118</xdr:row>
      <xdr:rowOff>239484</xdr:rowOff>
    </xdr:from>
    <xdr:to>
      <xdr:col>8</xdr:col>
      <xdr:colOff>412377</xdr:colOff>
      <xdr:row>120</xdr:row>
      <xdr:rowOff>76198</xdr:rowOff>
    </xdr:to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5872842" y="2761052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119</xdr:row>
      <xdr:rowOff>144236</xdr:rowOff>
    </xdr:from>
    <xdr:to>
      <xdr:col>5</xdr:col>
      <xdr:colOff>337457</xdr:colOff>
      <xdr:row>119</xdr:row>
      <xdr:rowOff>144237</xdr:rowOff>
    </xdr:to>
    <xdr:cxnSp macro="">
      <xdr:nvCxnSpPr>
        <xdr:cNvPr id="43" name="直線矢印コネクタ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/>
      </xdr:nvCxnSpPr>
      <xdr:spPr>
        <a:xfrm flipH="1">
          <a:off x="5212081" y="2775149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139</xdr:row>
      <xdr:rowOff>298314</xdr:rowOff>
    </xdr:from>
    <xdr:to>
      <xdr:col>5</xdr:col>
      <xdr:colOff>0</xdr:colOff>
      <xdr:row>140</xdr:row>
      <xdr:rowOff>0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>
          <a:cxnSpLocks/>
        </xdr:cNvCxnSpPr>
      </xdr:nvCxnSpPr>
      <xdr:spPr>
        <a:xfrm flipV="1">
          <a:off x="5221807" y="3244709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138</xdr:row>
      <xdr:rowOff>0</xdr:rowOff>
    </xdr:from>
    <xdr:to>
      <xdr:col>15</xdr:col>
      <xdr:colOff>518160</xdr:colOff>
      <xdr:row>141</xdr:row>
      <xdr:rowOff>175260</xdr:rowOff>
    </xdr:to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5524500" y="3198876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-105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105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136</xdr:row>
      <xdr:rowOff>65313</xdr:rowOff>
    </xdr:from>
    <xdr:to>
      <xdr:col>7</xdr:col>
      <xdr:colOff>98612</xdr:colOff>
      <xdr:row>137</xdr:row>
      <xdr:rowOff>195942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5757583" y="3159687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132</xdr:row>
      <xdr:rowOff>174172</xdr:rowOff>
    </xdr:from>
    <xdr:to>
      <xdr:col>5</xdr:col>
      <xdr:colOff>233083</xdr:colOff>
      <xdr:row>136</xdr:row>
      <xdr:rowOff>278545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CxnSpPr>
          <a:stCxn id="46" idx="1"/>
        </xdr:cNvCxnSpPr>
      </xdr:nvCxnSpPr>
      <xdr:spPr>
        <a:xfrm flipH="1" flipV="1">
          <a:off x="5233853" y="3078371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136</xdr:row>
      <xdr:rowOff>54430</xdr:rowOff>
    </xdr:from>
    <xdr:to>
      <xdr:col>11</xdr:col>
      <xdr:colOff>108856</xdr:colOff>
      <xdr:row>137</xdr:row>
      <xdr:rowOff>185059</xdr:rowOff>
    </xdr:to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8505006" y="3158599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131</xdr:row>
      <xdr:rowOff>217717</xdr:rowOff>
    </xdr:from>
    <xdr:to>
      <xdr:col>7</xdr:col>
      <xdr:colOff>359226</xdr:colOff>
      <xdr:row>136</xdr:row>
      <xdr:rowOff>266702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>
          <a:stCxn id="48" idx="1"/>
        </xdr:cNvCxnSpPr>
      </xdr:nvCxnSpPr>
      <xdr:spPr>
        <a:xfrm flipH="1" flipV="1">
          <a:off x="7574281" y="3059103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141</xdr:row>
      <xdr:rowOff>239484</xdr:rowOff>
    </xdr:from>
    <xdr:to>
      <xdr:col>8</xdr:col>
      <xdr:colOff>412377</xdr:colOff>
      <xdr:row>143</xdr:row>
      <xdr:rowOff>76198</xdr:rowOff>
    </xdr:to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5872842" y="3291404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142</xdr:row>
      <xdr:rowOff>144236</xdr:rowOff>
    </xdr:from>
    <xdr:to>
      <xdr:col>5</xdr:col>
      <xdr:colOff>337457</xdr:colOff>
      <xdr:row>142</xdr:row>
      <xdr:rowOff>144237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 flipH="1">
          <a:off x="5212081" y="3305501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162</xdr:row>
      <xdr:rowOff>298314</xdr:rowOff>
    </xdr:from>
    <xdr:to>
      <xdr:col>5</xdr:col>
      <xdr:colOff>0</xdr:colOff>
      <xdr:row>163</xdr:row>
      <xdr:rowOff>0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>
          <a:cxnSpLocks/>
        </xdr:cNvCxnSpPr>
      </xdr:nvCxnSpPr>
      <xdr:spPr>
        <a:xfrm flipV="1">
          <a:off x="5221807" y="3775061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161</xdr:row>
      <xdr:rowOff>0</xdr:rowOff>
    </xdr:from>
    <xdr:to>
      <xdr:col>15</xdr:col>
      <xdr:colOff>518160</xdr:colOff>
      <xdr:row>164</xdr:row>
      <xdr:rowOff>175260</xdr:rowOff>
    </xdr:to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5524500" y="3729228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-4,185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4,185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159</xdr:row>
      <xdr:rowOff>65313</xdr:rowOff>
    </xdr:from>
    <xdr:to>
      <xdr:col>7</xdr:col>
      <xdr:colOff>98612</xdr:colOff>
      <xdr:row>160</xdr:row>
      <xdr:rowOff>195942</xdr:rowOff>
    </xdr:to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5757583" y="3690039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155</xdr:row>
      <xdr:rowOff>174172</xdr:rowOff>
    </xdr:from>
    <xdr:to>
      <xdr:col>5</xdr:col>
      <xdr:colOff>233083</xdr:colOff>
      <xdr:row>159</xdr:row>
      <xdr:rowOff>278545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>
          <a:stCxn id="54" idx="1"/>
        </xdr:cNvCxnSpPr>
      </xdr:nvCxnSpPr>
      <xdr:spPr>
        <a:xfrm flipH="1" flipV="1">
          <a:off x="5233853" y="3608723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159</xdr:row>
      <xdr:rowOff>54430</xdr:rowOff>
    </xdr:from>
    <xdr:to>
      <xdr:col>11</xdr:col>
      <xdr:colOff>108856</xdr:colOff>
      <xdr:row>160</xdr:row>
      <xdr:rowOff>185059</xdr:rowOff>
    </xdr:to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8505006" y="3688951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154</xdr:row>
      <xdr:rowOff>217717</xdr:rowOff>
    </xdr:from>
    <xdr:to>
      <xdr:col>7</xdr:col>
      <xdr:colOff>359226</xdr:colOff>
      <xdr:row>159</xdr:row>
      <xdr:rowOff>266702</xdr:rowOff>
    </xdr:to>
    <xdr:cxnSp macro="">
      <xdr:nvCxnSpPr>
        <xdr:cNvPr id="57" name="直線矢印コネクタ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>
          <a:stCxn id="56" idx="1"/>
        </xdr:cNvCxnSpPr>
      </xdr:nvCxnSpPr>
      <xdr:spPr>
        <a:xfrm flipH="1" flipV="1">
          <a:off x="7574281" y="3589455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164</xdr:row>
      <xdr:rowOff>239484</xdr:rowOff>
    </xdr:from>
    <xdr:to>
      <xdr:col>8</xdr:col>
      <xdr:colOff>412377</xdr:colOff>
      <xdr:row>166</xdr:row>
      <xdr:rowOff>76198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5872842" y="3821756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165</xdr:row>
      <xdr:rowOff>144236</xdr:rowOff>
    </xdr:from>
    <xdr:to>
      <xdr:col>5</xdr:col>
      <xdr:colOff>337457</xdr:colOff>
      <xdr:row>165</xdr:row>
      <xdr:rowOff>144237</xdr:rowOff>
    </xdr:to>
    <xdr:cxnSp macro="">
      <xdr:nvCxnSpPr>
        <xdr:cNvPr id="59" name="直線矢印コネクタ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>
        <a:xfrm flipH="1">
          <a:off x="5212081" y="3835853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185</xdr:row>
      <xdr:rowOff>298314</xdr:rowOff>
    </xdr:from>
    <xdr:to>
      <xdr:col>5</xdr:col>
      <xdr:colOff>0</xdr:colOff>
      <xdr:row>186</xdr:row>
      <xdr:rowOff>0</xdr:rowOff>
    </xdr:to>
    <xdr:cxnSp macro="">
      <xdr:nvCxnSpPr>
        <xdr:cNvPr id="60" name="直線矢印コネクタ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CxnSpPr>
          <a:cxnSpLocks/>
        </xdr:cNvCxnSpPr>
      </xdr:nvCxnSpPr>
      <xdr:spPr>
        <a:xfrm flipV="1">
          <a:off x="5221807" y="4305413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184</xdr:row>
      <xdr:rowOff>0</xdr:rowOff>
    </xdr:from>
    <xdr:to>
      <xdr:col>15</xdr:col>
      <xdr:colOff>518160</xdr:colOff>
      <xdr:row>187</xdr:row>
      <xdr:rowOff>175260</xdr:rowOff>
    </xdr:to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5524500" y="4259580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-1,965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1,965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182</xdr:row>
      <xdr:rowOff>65313</xdr:rowOff>
    </xdr:from>
    <xdr:to>
      <xdr:col>7</xdr:col>
      <xdr:colOff>98612</xdr:colOff>
      <xdr:row>183</xdr:row>
      <xdr:rowOff>195942</xdr:rowOff>
    </xdr:to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5757583" y="4220391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178</xdr:row>
      <xdr:rowOff>174172</xdr:rowOff>
    </xdr:from>
    <xdr:to>
      <xdr:col>5</xdr:col>
      <xdr:colOff>233083</xdr:colOff>
      <xdr:row>182</xdr:row>
      <xdr:rowOff>278545</xdr:rowOff>
    </xdr:to>
    <xdr:cxnSp macro="">
      <xdr:nvCxnSpPr>
        <xdr:cNvPr id="63" name="直線矢印コネクタ 62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CxnSpPr>
          <a:stCxn id="62" idx="1"/>
        </xdr:cNvCxnSpPr>
      </xdr:nvCxnSpPr>
      <xdr:spPr>
        <a:xfrm flipH="1" flipV="1">
          <a:off x="5233853" y="4139075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182</xdr:row>
      <xdr:rowOff>54430</xdr:rowOff>
    </xdr:from>
    <xdr:to>
      <xdr:col>11</xdr:col>
      <xdr:colOff>108856</xdr:colOff>
      <xdr:row>183</xdr:row>
      <xdr:rowOff>185059</xdr:rowOff>
    </xdr:to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8505006" y="4219303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177</xdr:row>
      <xdr:rowOff>217717</xdr:rowOff>
    </xdr:from>
    <xdr:to>
      <xdr:col>7</xdr:col>
      <xdr:colOff>359226</xdr:colOff>
      <xdr:row>182</xdr:row>
      <xdr:rowOff>266702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>
          <a:stCxn id="64" idx="1"/>
        </xdr:cNvCxnSpPr>
      </xdr:nvCxnSpPr>
      <xdr:spPr>
        <a:xfrm flipH="1" flipV="1">
          <a:off x="7574281" y="4119807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187</xdr:row>
      <xdr:rowOff>239484</xdr:rowOff>
    </xdr:from>
    <xdr:to>
      <xdr:col>8</xdr:col>
      <xdr:colOff>412377</xdr:colOff>
      <xdr:row>189</xdr:row>
      <xdr:rowOff>76198</xdr:rowOff>
    </xdr:to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5872842" y="4352108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188</xdr:row>
      <xdr:rowOff>144236</xdr:rowOff>
    </xdr:from>
    <xdr:to>
      <xdr:col>5</xdr:col>
      <xdr:colOff>337457</xdr:colOff>
      <xdr:row>188</xdr:row>
      <xdr:rowOff>144237</xdr:rowOff>
    </xdr:to>
    <xdr:cxnSp macro="">
      <xdr:nvCxnSpPr>
        <xdr:cNvPr id="67" name="直線矢印コネクタ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CxnSpPr/>
      </xdr:nvCxnSpPr>
      <xdr:spPr>
        <a:xfrm flipH="1">
          <a:off x="5212081" y="4366205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208</xdr:row>
      <xdr:rowOff>298314</xdr:rowOff>
    </xdr:from>
    <xdr:to>
      <xdr:col>5</xdr:col>
      <xdr:colOff>0</xdr:colOff>
      <xdr:row>209</xdr:row>
      <xdr:rowOff>0</xdr:rowOff>
    </xdr:to>
    <xdr:cxnSp macro="">
      <xdr:nvCxnSpPr>
        <xdr:cNvPr id="68" name="直線矢印コネクタ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CxnSpPr>
          <a:cxnSpLocks/>
        </xdr:cNvCxnSpPr>
      </xdr:nvCxnSpPr>
      <xdr:spPr>
        <a:xfrm flipV="1">
          <a:off x="5221807" y="4835765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207</xdr:row>
      <xdr:rowOff>0</xdr:rowOff>
    </xdr:from>
    <xdr:to>
      <xdr:col>15</xdr:col>
      <xdr:colOff>518160</xdr:colOff>
      <xdr:row>210</xdr:row>
      <xdr:rowOff>175260</xdr:rowOff>
    </xdr:to>
    <xdr:sp macro="" textlink="">
      <xdr:nvSpPr>
        <xdr:cNvPr id="69" name="テキスト ボックス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5524500" y="4789932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-1,639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1,639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205</xdr:row>
      <xdr:rowOff>65313</xdr:rowOff>
    </xdr:from>
    <xdr:to>
      <xdr:col>7</xdr:col>
      <xdr:colOff>98612</xdr:colOff>
      <xdr:row>206</xdr:row>
      <xdr:rowOff>195942</xdr:rowOff>
    </xdr:to>
    <xdr:sp macro="" textlink="">
      <xdr:nvSpPr>
        <xdr:cNvPr id="70" name="テキスト ボックス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5757583" y="4750743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201</xdr:row>
      <xdr:rowOff>174172</xdr:rowOff>
    </xdr:from>
    <xdr:to>
      <xdr:col>5</xdr:col>
      <xdr:colOff>233083</xdr:colOff>
      <xdr:row>205</xdr:row>
      <xdr:rowOff>278545</xdr:rowOff>
    </xdr:to>
    <xdr:cxnSp macro="">
      <xdr:nvCxnSpPr>
        <xdr:cNvPr id="71" name="直線矢印コネクタ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CxnSpPr>
          <a:stCxn id="70" idx="1"/>
        </xdr:cNvCxnSpPr>
      </xdr:nvCxnSpPr>
      <xdr:spPr>
        <a:xfrm flipH="1" flipV="1">
          <a:off x="5233853" y="46694272"/>
          <a:ext cx="523730" cy="97305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205</xdr:row>
      <xdr:rowOff>54430</xdr:rowOff>
    </xdr:from>
    <xdr:to>
      <xdr:col>11</xdr:col>
      <xdr:colOff>108856</xdr:colOff>
      <xdr:row>206</xdr:row>
      <xdr:rowOff>185059</xdr:rowOff>
    </xdr:to>
    <xdr:sp macro="" textlink="">
      <xdr:nvSpPr>
        <xdr:cNvPr id="72" name="テキスト ボックス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8505006" y="4749655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200</xdr:row>
      <xdr:rowOff>217717</xdr:rowOff>
    </xdr:from>
    <xdr:to>
      <xdr:col>7</xdr:col>
      <xdr:colOff>359226</xdr:colOff>
      <xdr:row>205</xdr:row>
      <xdr:rowOff>266702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CxnSpPr>
          <a:stCxn id="72" idx="1"/>
        </xdr:cNvCxnSpPr>
      </xdr:nvCxnSpPr>
      <xdr:spPr>
        <a:xfrm flipH="1" flipV="1">
          <a:off x="7574281" y="46501597"/>
          <a:ext cx="930725" cy="116912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210</xdr:row>
      <xdr:rowOff>239484</xdr:rowOff>
    </xdr:from>
    <xdr:to>
      <xdr:col>8</xdr:col>
      <xdr:colOff>412377</xdr:colOff>
      <xdr:row>212</xdr:row>
      <xdr:rowOff>76198</xdr:rowOff>
    </xdr:to>
    <xdr:sp macro="" textlink="">
      <xdr:nvSpPr>
        <xdr:cNvPr id="74" name="テキスト ボックス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5872842" y="4882460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211</xdr:row>
      <xdr:rowOff>144236</xdr:rowOff>
    </xdr:from>
    <xdr:to>
      <xdr:col>5</xdr:col>
      <xdr:colOff>337457</xdr:colOff>
      <xdr:row>211</xdr:row>
      <xdr:rowOff>144237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CxnSpPr/>
      </xdr:nvCxnSpPr>
      <xdr:spPr>
        <a:xfrm flipH="1">
          <a:off x="5212081" y="4896557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9727</xdr:colOff>
      <xdr:row>231</xdr:row>
      <xdr:rowOff>298314</xdr:rowOff>
    </xdr:from>
    <xdr:to>
      <xdr:col>5</xdr:col>
      <xdr:colOff>0</xdr:colOff>
      <xdr:row>232</xdr:row>
      <xdr:rowOff>0</xdr:rowOff>
    </xdr:to>
    <xdr:cxnSp macro="">
      <xdr:nvCxnSpPr>
        <xdr:cNvPr id="76" name="直線矢印コネクタ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CxnSpPr>
          <a:cxnSpLocks/>
        </xdr:cNvCxnSpPr>
      </xdr:nvCxnSpPr>
      <xdr:spPr>
        <a:xfrm flipV="1">
          <a:off x="5221807" y="53653554"/>
          <a:ext cx="302693" cy="0"/>
        </a:xfrm>
        <a:prstGeom prst="straightConnector1">
          <a:avLst/>
        </a:prstGeom>
        <a:ln w="1270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230</xdr:row>
      <xdr:rowOff>0</xdr:rowOff>
    </xdr:from>
    <xdr:to>
      <xdr:col>15</xdr:col>
      <xdr:colOff>518160</xdr:colOff>
      <xdr:row>233</xdr:row>
      <xdr:rowOff>175260</xdr:rowOff>
    </xdr:to>
    <xdr:sp macro="" textlink="">
      <xdr:nvSpPr>
        <xdr:cNvPr id="77" name="テキスト ボックス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 txBox="1"/>
      </xdr:nvSpPr>
      <xdr:spPr>
        <a:xfrm>
          <a:off x="5524500" y="53195220"/>
          <a:ext cx="10210800" cy="861060"/>
        </a:xfrm>
        <a:prstGeom prst="rect">
          <a:avLst/>
        </a:prstGeom>
        <a:solidFill>
          <a:schemeClr val="bg2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 u="sng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1200" u="sng">
              <a:latin typeface="Meiryo UI" panose="020B0604030504040204" pitchFamily="50" charset="-128"/>
              <a:ea typeface="Meiryo UI" panose="020B0604030504040204" pitchFamily="50" charset="-128"/>
            </a:rPr>
            <a:t>⑧</a:t>
          </a:r>
          <a:r>
            <a:rPr kumimoji="1" lang="ja-JP" altLang="ja-JP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基準年間電気料金から黒字化される額</a:t>
          </a:r>
          <a:r>
            <a:rPr kumimoji="1" lang="ja-JP" altLang="en-US" sz="1100" u="sng">
              <a:solidFill>
                <a:schemeClr val="dk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の端数調整について</a:t>
          </a:r>
          <a:endParaRPr kumimoji="1" lang="en-US" altLang="ja-JP" sz="1200" u="sng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③「単価」は、②「基準年間電気料金」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①「施設使用電力量」の結果を端数調整しています。その結果、③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×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①＝②とならず、⑧について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-295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円の差額が生じます。</a:t>
          </a:r>
          <a:endParaRPr kumimoji="1"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そのため、⑧「基準年間電気料金から黒字化される額」では、あらかじめ差額の</a:t>
          </a:r>
          <a:r>
            <a:rPr kumimoji="1"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295</a:t>
          </a:r>
          <a:r>
            <a:rPr kumimoji="1"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円を差し引いています。</a:t>
          </a:r>
        </a:p>
      </xdr:txBody>
    </xdr:sp>
    <xdr:clientData/>
  </xdr:twoCellAnchor>
  <xdr:twoCellAnchor>
    <xdr:from>
      <xdr:col>5</xdr:col>
      <xdr:colOff>233083</xdr:colOff>
      <xdr:row>228</xdr:row>
      <xdr:rowOff>65313</xdr:rowOff>
    </xdr:from>
    <xdr:to>
      <xdr:col>7</xdr:col>
      <xdr:colOff>98612</xdr:colOff>
      <xdr:row>229</xdr:row>
      <xdr:rowOff>195942</xdr:rowOff>
    </xdr:to>
    <xdr:sp macro="" textlink="">
      <xdr:nvSpPr>
        <xdr:cNvPr id="78" name="テキスト ボックス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5757583" y="52803333"/>
          <a:ext cx="2486809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【A】PPA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提案単価を記入してください。</a:t>
          </a:r>
        </a:p>
      </xdr:txBody>
    </xdr:sp>
    <xdr:clientData/>
  </xdr:twoCellAnchor>
  <xdr:twoCellAnchor>
    <xdr:from>
      <xdr:col>4</xdr:col>
      <xdr:colOff>21773</xdr:colOff>
      <xdr:row>224</xdr:row>
      <xdr:rowOff>174172</xdr:rowOff>
    </xdr:from>
    <xdr:to>
      <xdr:col>5</xdr:col>
      <xdr:colOff>233083</xdr:colOff>
      <xdr:row>228</xdr:row>
      <xdr:rowOff>278545</xdr:rowOff>
    </xdr:to>
    <xdr:cxnSp macro="">
      <xdr:nvCxnSpPr>
        <xdr:cNvPr id="79" name="直線矢印コネクタ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CxnSpPr>
          <a:stCxn id="78" idx="1"/>
        </xdr:cNvCxnSpPr>
      </xdr:nvCxnSpPr>
      <xdr:spPr>
        <a:xfrm flipH="1" flipV="1">
          <a:off x="5233853" y="51997792"/>
          <a:ext cx="523730" cy="965433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359226</xdr:colOff>
      <xdr:row>228</xdr:row>
      <xdr:rowOff>54430</xdr:rowOff>
    </xdr:from>
    <xdr:to>
      <xdr:col>11</xdr:col>
      <xdr:colOff>108856</xdr:colOff>
      <xdr:row>229</xdr:row>
      <xdr:rowOff>185059</xdr:rowOff>
    </xdr:to>
    <xdr:sp macro="" textlink="">
      <xdr:nvSpPr>
        <xdr:cNvPr id="80" name="テキスト ボックス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8505006" y="52792450"/>
          <a:ext cx="3285310" cy="359229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【B】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想定される</a:t>
          </a:r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電力供給量を記入してください。</a:t>
          </a:r>
        </a:p>
      </xdr:txBody>
    </xdr:sp>
    <xdr:clientData/>
  </xdr:twoCellAnchor>
  <xdr:twoCellAnchor>
    <xdr:from>
      <xdr:col>6</xdr:col>
      <xdr:colOff>1676401</xdr:colOff>
      <xdr:row>223</xdr:row>
      <xdr:rowOff>217717</xdr:rowOff>
    </xdr:from>
    <xdr:to>
      <xdr:col>7</xdr:col>
      <xdr:colOff>359226</xdr:colOff>
      <xdr:row>228</xdr:row>
      <xdr:rowOff>266702</xdr:rowOff>
    </xdr:to>
    <xdr:cxnSp macro="">
      <xdr:nvCxnSpPr>
        <xdr:cNvPr id="81" name="直線矢印コネクタ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CxnSpPr>
          <a:stCxn id="80" idx="1"/>
        </xdr:cNvCxnSpPr>
      </xdr:nvCxnSpPr>
      <xdr:spPr>
        <a:xfrm flipH="1" flipV="1">
          <a:off x="7574281" y="51805117"/>
          <a:ext cx="930725" cy="1161505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348342</xdr:colOff>
      <xdr:row>233</xdr:row>
      <xdr:rowOff>239484</xdr:rowOff>
    </xdr:from>
    <xdr:to>
      <xdr:col>8</xdr:col>
      <xdr:colOff>412377</xdr:colOff>
      <xdr:row>235</xdr:row>
      <xdr:rowOff>76198</xdr:rowOff>
    </xdr:to>
    <xdr:sp macro="" textlink="">
      <xdr:nvSpPr>
        <xdr:cNvPr id="82" name="テキスト ボックス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5872842" y="54120504"/>
          <a:ext cx="3569235" cy="309154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en-US" altLang="ja-JP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【C】PPA</a:t>
          </a: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設備運転期間（年数）を記入してください。</a:t>
          </a:r>
        </a:p>
      </xdr:txBody>
    </xdr:sp>
    <xdr:clientData/>
  </xdr:twoCellAnchor>
  <xdr:twoCellAnchor>
    <xdr:from>
      <xdr:col>4</xdr:col>
      <xdr:colOff>1</xdr:colOff>
      <xdr:row>234</xdr:row>
      <xdr:rowOff>144236</xdr:rowOff>
    </xdr:from>
    <xdr:to>
      <xdr:col>5</xdr:col>
      <xdr:colOff>337457</xdr:colOff>
      <xdr:row>234</xdr:row>
      <xdr:rowOff>144237</xdr:rowOff>
    </xdr:to>
    <xdr:cxnSp macro="">
      <xdr:nvCxnSpPr>
        <xdr:cNvPr id="83" name="直線矢印コネクタ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CxnSpPr/>
      </xdr:nvCxnSpPr>
      <xdr:spPr>
        <a:xfrm flipH="1">
          <a:off x="5212081" y="54261476"/>
          <a:ext cx="649876" cy="1"/>
        </a:xfrm>
        <a:prstGeom prst="straightConnector1">
          <a:avLst/>
        </a:prstGeom>
        <a:ln w="127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0"/>
  <sheetViews>
    <sheetView tabSelected="1" view="pageBreakPreview" zoomScale="75" zoomScaleNormal="75" zoomScaleSheetLayoutView="75" workbookViewId="0">
      <selection activeCell="B1" sqref="B1"/>
    </sheetView>
  </sheetViews>
  <sheetFormatPr defaultRowHeight="18" x14ac:dyDescent="0.45"/>
  <cols>
    <col min="1" max="1" width="16" style="2" customWidth="1"/>
    <col min="2" max="2" width="14.5" style="2" customWidth="1"/>
    <col min="3" max="3" width="23.19921875" style="2" customWidth="1"/>
    <col min="4" max="4" width="14.69921875" style="2" bestFit="1" customWidth="1"/>
    <col min="5" max="5" width="4.09765625" style="2" customWidth="1"/>
    <col min="6" max="6" width="4.8984375" style="2" customWidth="1"/>
    <col min="7" max="7" width="29.5" style="2" customWidth="1"/>
    <col min="8" max="19" width="11.59765625" style="2" customWidth="1"/>
    <col min="20" max="20" width="16.8984375" style="2" customWidth="1"/>
  </cols>
  <sheetData>
    <row r="1" spans="1:20" ht="23.4" thickBot="1" x14ac:dyDescent="0.5">
      <c r="A1" s="1" t="s">
        <v>69</v>
      </c>
      <c r="B1" s="1" t="s">
        <v>70</v>
      </c>
    </row>
    <row r="2" spans="1:20" x14ac:dyDescent="0.45">
      <c r="A2" s="3" t="s">
        <v>2</v>
      </c>
      <c r="B2" s="74"/>
      <c r="C2" s="74"/>
      <c r="D2" s="75"/>
    </row>
    <row r="3" spans="1:20" x14ac:dyDescent="0.45">
      <c r="A3" s="4" t="s">
        <v>3</v>
      </c>
      <c r="B3" s="76"/>
      <c r="C3" s="76"/>
      <c r="D3" s="77"/>
    </row>
    <row r="4" spans="1:20" ht="18.600000000000001" thickBot="1" x14ac:dyDescent="0.5">
      <c r="A4" s="5" t="s">
        <v>4</v>
      </c>
      <c r="B4" s="78"/>
      <c r="C4" s="78"/>
      <c r="D4" s="79"/>
    </row>
    <row r="5" spans="1:20" ht="18.600000000000001" thickBot="1" x14ac:dyDescent="0.5"/>
    <row r="6" spans="1:20" ht="24.6" x14ac:dyDescent="0.45">
      <c r="A6" s="6"/>
      <c r="F6" s="80" t="s">
        <v>72</v>
      </c>
      <c r="G6" s="81"/>
      <c r="H6" s="84">
        <f>ROUNDDOWN(D29+D52+D75+D99+D122+D146+D169+D193+D216+D240,-3)</f>
        <v>0</v>
      </c>
      <c r="I6" s="85"/>
      <c r="K6" s="66" t="s">
        <v>83</v>
      </c>
      <c r="L6" s="67"/>
      <c r="M6" s="70">
        <f>T27+T50+T73+T97+T120+T144+T167+T191+T214+T238</f>
        <v>0</v>
      </c>
      <c r="N6" s="71"/>
      <c r="P6" s="64" t="s">
        <v>84</v>
      </c>
      <c r="Q6" s="65"/>
      <c r="R6" s="65"/>
      <c r="S6" s="65"/>
      <c r="T6" s="65"/>
    </row>
    <row r="7" spans="1:20" ht="19.2" thickBot="1" x14ac:dyDescent="0.5">
      <c r="A7" s="7"/>
      <c r="C7" s="7"/>
      <c r="F7" s="82"/>
      <c r="G7" s="83"/>
      <c r="H7" s="86"/>
      <c r="I7" s="87"/>
      <c r="K7" s="68"/>
      <c r="L7" s="69"/>
      <c r="M7" s="72"/>
      <c r="N7" s="73"/>
      <c r="P7" s="65"/>
      <c r="Q7" s="65"/>
      <c r="R7" s="65"/>
      <c r="S7" s="65"/>
      <c r="T7" s="65"/>
    </row>
    <row r="8" spans="1:20" x14ac:dyDescent="0.45">
      <c r="H8" s="2" t="s">
        <v>5</v>
      </c>
    </row>
    <row r="9" spans="1:20" ht="18.600000000000001" x14ac:dyDescent="0.45">
      <c r="A9" s="8" t="s">
        <v>46</v>
      </c>
      <c r="B9" s="9"/>
      <c r="C9" s="9"/>
      <c r="D9" s="9"/>
    </row>
    <row r="10" spans="1:20" x14ac:dyDescent="0.45">
      <c r="A10" s="10" t="s">
        <v>67</v>
      </c>
      <c r="D10" s="11"/>
      <c r="F10" s="2" t="s">
        <v>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  <c r="O10" s="12" t="s">
        <v>14</v>
      </c>
      <c r="P10" s="12" t="s">
        <v>15</v>
      </c>
      <c r="Q10" s="12" t="s">
        <v>16</v>
      </c>
      <c r="R10" s="12" t="s">
        <v>17</v>
      </c>
      <c r="S10" s="13" t="s">
        <v>18</v>
      </c>
      <c r="T10" s="14" t="s">
        <v>19</v>
      </c>
    </row>
    <row r="11" spans="1:20" x14ac:dyDescent="0.45">
      <c r="A11" s="88" t="s">
        <v>20</v>
      </c>
      <c r="B11" s="89"/>
      <c r="C11" s="90"/>
      <c r="D11" s="15">
        <f>T11</f>
        <v>500265</v>
      </c>
      <c r="F11" s="91" t="s">
        <v>21</v>
      </c>
      <c r="G11" s="92"/>
      <c r="H11" s="16">
        <v>27434</v>
      </c>
      <c r="I11" s="16">
        <v>32804</v>
      </c>
      <c r="J11" s="16">
        <v>48724</v>
      </c>
      <c r="K11" s="16">
        <v>55141</v>
      </c>
      <c r="L11" s="16">
        <v>26867</v>
      </c>
      <c r="M11" s="16">
        <v>66369</v>
      </c>
      <c r="N11" s="16">
        <v>34131</v>
      </c>
      <c r="O11" s="16">
        <v>34753</v>
      </c>
      <c r="P11" s="16">
        <v>37552</v>
      </c>
      <c r="Q11" s="16">
        <v>45880</v>
      </c>
      <c r="R11" s="16">
        <v>49574</v>
      </c>
      <c r="S11" s="16">
        <v>41036</v>
      </c>
      <c r="T11" s="17">
        <f>SUM(H11:S11)</f>
        <v>500265</v>
      </c>
    </row>
    <row r="12" spans="1:20" x14ac:dyDescent="0.45">
      <c r="A12" s="93" t="s">
        <v>22</v>
      </c>
      <c r="B12" s="93"/>
      <c r="C12" s="93"/>
      <c r="D12" s="18">
        <f>T12</f>
        <v>19505318</v>
      </c>
      <c r="F12" s="93" t="s">
        <v>23</v>
      </c>
      <c r="G12" s="93"/>
      <c r="H12" s="16">
        <v>1465192</v>
      </c>
      <c r="I12" s="16">
        <v>1494786</v>
      </c>
      <c r="J12" s="16">
        <v>1765740</v>
      </c>
      <c r="K12" s="16">
        <v>1890893</v>
      </c>
      <c r="L12" s="16">
        <v>1329760</v>
      </c>
      <c r="M12" s="16">
        <v>2064747</v>
      </c>
      <c r="N12" s="16">
        <v>1434391</v>
      </c>
      <c r="O12" s="16">
        <v>1436643</v>
      </c>
      <c r="P12" s="16">
        <v>1538254</v>
      </c>
      <c r="Q12" s="16">
        <v>1677417</v>
      </c>
      <c r="R12" s="16">
        <v>1742777</v>
      </c>
      <c r="S12" s="16">
        <v>1664718</v>
      </c>
      <c r="T12" s="19">
        <f>SUM(H12:S12)</f>
        <v>19505318</v>
      </c>
    </row>
    <row r="13" spans="1:20" x14ac:dyDescent="0.45">
      <c r="A13" s="88" t="s">
        <v>24</v>
      </c>
      <c r="B13" s="89"/>
      <c r="C13" s="90"/>
      <c r="D13" s="20">
        <f>ROUNDDOWN(D12/D11,2)</f>
        <v>38.979999999999997</v>
      </c>
      <c r="T13" s="11"/>
    </row>
    <row r="14" spans="1:20" x14ac:dyDescent="0.45">
      <c r="A14" s="21"/>
      <c r="T14" s="11"/>
    </row>
    <row r="15" spans="1:20" x14ac:dyDescent="0.45">
      <c r="A15" s="10" t="s">
        <v>25</v>
      </c>
      <c r="D15" s="11"/>
      <c r="F15" s="2" t="s">
        <v>6</v>
      </c>
      <c r="H15" s="12" t="s">
        <v>7</v>
      </c>
      <c r="I15" s="12" t="s">
        <v>8</v>
      </c>
      <c r="J15" s="12" t="s">
        <v>9</v>
      </c>
      <c r="K15" s="12" t="s">
        <v>10</v>
      </c>
      <c r="L15" s="12" t="s">
        <v>11</v>
      </c>
      <c r="M15" s="12" t="s">
        <v>12</v>
      </c>
      <c r="N15" s="12" t="s">
        <v>13</v>
      </c>
      <c r="O15" s="12" t="s">
        <v>14</v>
      </c>
      <c r="P15" s="12" t="s">
        <v>15</v>
      </c>
      <c r="Q15" s="12" t="s">
        <v>16</v>
      </c>
      <c r="R15" s="12" t="s">
        <v>17</v>
      </c>
      <c r="S15" s="13" t="s">
        <v>18</v>
      </c>
      <c r="T15" s="14" t="s">
        <v>19</v>
      </c>
    </row>
    <row r="16" spans="1:20" ht="18.600000000000001" thickBot="1" x14ac:dyDescent="0.5">
      <c r="A16" s="88" t="s">
        <v>20</v>
      </c>
      <c r="B16" s="89"/>
      <c r="C16" s="90"/>
      <c r="D16" s="15">
        <f>D11</f>
        <v>500265</v>
      </c>
      <c r="F16" s="91" t="s">
        <v>21</v>
      </c>
      <c r="G16" s="92"/>
      <c r="H16" s="22">
        <f>H11</f>
        <v>27434</v>
      </c>
      <c r="I16" s="22">
        <f t="shared" ref="I16:R16" si="0">I11</f>
        <v>32804</v>
      </c>
      <c r="J16" s="22">
        <f t="shared" si="0"/>
        <v>48724</v>
      </c>
      <c r="K16" s="22">
        <f t="shared" si="0"/>
        <v>55141</v>
      </c>
      <c r="L16" s="22">
        <f t="shared" si="0"/>
        <v>26867</v>
      </c>
      <c r="M16" s="22">
        <f t="shared" si="0"/>
        <v>66369</v>
      </c>
      <c r="N16" s="22">
        <f t="shared" si="0"/>
        <v>34131</v>
      </c>
      <c r="O16" s="22">
        <f t="shared" si="0"/>
        <v>34753</v>
      </c>
      <c r="P16" s="22">
        <f t="shared" si="0"/>
        <v>37552</v>
      </c>
      <c r="Q16" s="22">
        <f t="shared" si="0"/>
        <v>45880</v>
      </c>
      <c r="R16" s="22">
        <f t="shared" si="0"/>
        <v>49574</v>
      </c>
      <c r="S16" s="22">
        <f>S11</f>
        <v>41036</v>
      </c>
      <c r="T16" s="17">
        <f>T11</f>
        <v>500265</v>
      </c>
    </row>
    <row r="17" spans="1:20" ht="18.600000000000001" thickBot="1" x14ac:dyDescent="0.5">
      <c r="A17" s="94" t="s">
        <v>26</v>
      </c>
      <c r="B17" s="88" t="s">
        <v>27</v>
      </c>
      <c r="C17" s="90"/>
      <c r="D17" s="15">
        <f>T17</f>
        <v>0</v>
      </c>
      <c r="F17" s="96" t="s">
        <v>26</v>
      </c>
      <c r="G17" s="23" t="s">
        <v>28</v>
      </c>
      <c r="H17" s="24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6"/>
      <c r="T17" s="27">
        <f>SUM(H17:S17)</f>
        <v>0</v>
      </c>
    </row>
    <row r="18" spans="1:20" ht="18.600000000000001" thickBot="1" x14ac:dyDescent="0.5">
      <c r="A18" s="95"/>
      <c r="B18" s="88" t="s">
        <v>29</v>
      </c>
      <c r="C18" s="98"/>
      <c r="D18" s="28"/>
      <c r="F18" s="97"/>
      <c r="G18" s="23" t="s">
        <v>30</v>
      </c>
      <c r="H18" s="29">
        <f>ROUNDDOWN(H17*$D$18,0)</f>
        <v>0</v>
      </c>
      <c r="I18" s="29">
        <f t="shared" ref="I18:S18" si="1">ROUNDDOWN(I17*$D$18,0)</f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29">
        <f t="shared" si="1"/>
        <v>0</v>
      </c>
      <c r="N18" s="29">
        <f t="shared" si="1"/>
        <v>0</v>
      </c>
      <c r="O18" s="29">
        <f t="shared" si="1"/>
        <v>0</v>
      </c>
      <c r="P18" s="29">
        <f t="shared" si="1"/>
        <v>0</v>
      </c>
      <c r="Q18" s="29">
        <f t="shared" si="1"/>
        <v>0</v>
      </c>
      <c r="R18" s="29">
        <f t="shared" si="1"/>
        <v>0</v>
      </c>
      <c r="S18" s="29">
        <f t="shared" si="1"/>
        <v>0</v>
      </c>
      <c r="T18" s="19">
        <f>SUM(H18:S18)</f>
        <v>0</v>
      </c>
    </row>
    <row r="19" spans="1:20" x14ac:dyDescent="0.45">
      <c r="A19" s="93" t="s">
        <v>31</v>
      </c>
      <c r="B19" s="88" t="s">
        <v>32</v>
      </c>
      <c r="C19" s="90"/>
      <c r="D19" s="30">
        <f>D16-D17</f>
        <v>500265</v>
      </c>
      <c r="F19" s="100" t="s">
        <v>33</v>
      </c>
      <c r="G19" s="31" t="s">
        <v>34</v>
      </c>
      <c r="H19" s="32">
        <f t="shared" ref="H19:S19" si="2">H16-H17</f>
        <v>27434</v>
      </c>
      <c r="I19" s="32">
        <f t="shared" si="2"/>
        <v>32804</v>
      </c>
      <c r="J19" s="32">
        <f t="shared" si="2"/>
        <v>48724</v>
      </c>
      <c r="K19" s="32">
        <f t="shared" si="2"/>
        <v>55141</v>
      </c>
      <c r="L19" s="32">
        <f t="shared" si="2"/>
        <v>26867</v>
      </c>
      <c r="M19" s="32">
        <f t="shared" si="2"/>
        <v>66369</v>
      </c>
      <c r="N19" s="32">
        <f t="shared" si="2"/>
        <v>34131</v>
      </c>
      <c r="O19" s="32">
        <f t="shared" si="2"/>
        <v>34753</v>
      </c>
      <c r="P19" s="32">
        <f t="shared" si="2"/>
        <v>37552</v>
      </c>
      <c r="Q19" s="32">
        <f t="shared" si="2"/>
        <v>45880</v>
      </c>
      <c r="R19" s="32">
        <f t="shared" si="2"/>
        <v>49574</v>
      </c>
      <c r="S19" s="32">
        <f t="shared" si="2"/>
        <v>41036</v>
      </c>
      <c r="T19" s="17">
        <f>SUM(H19:S19)</f>
        <v>500265</v>
      </c>
    </row>
    <row r="20" spans="1:20" x14ac:dyDescent="0.45">
      <c r="A20" s="93"/>
      <c r="B20" s="88" t="s">
        <v>35</v>
      </c>
      <c r="C20" s="90"/>
      <c r="D20" s="20">
        <f>D13</f>
        <v>38.979999999999997</v>
      </c>
      <c r="F20" s="100"/>
      <c r="G20" s="23" t="s">
        <v>36</v>
      </c>
      <c r="H20" s="32">
        <f>H19*$D20</f>
        <v>1069377.3199999998</v>
      </c>
      <c r="I20" s="32">
        <f t="shared" ref="I20:S20" si="3">I19*$D20</f>
        <v>1278699.92</v>
      </c>
      <c r="J20" s="32">
        <f t="shared" si="3"/>
        <v>1899261.5199999998</v>
      </c>
      <c r="K20" s="32">
        <f t="shared" si="3"/>
        <v>2149396.1799999997</v>
      </c>
      <c r="L20" s="32">
        <f t="shared" si="3"/>
        <v>1047275.6599999999</v>
      </c>
      <c r="M20" s="32">
        <f t="shared" si="3"/>
        <v>2587063.6199999996</v>
      </c>
      <c r="N20" s="32">
        <f t="shared" si="3"/>
        <v>1330426.3799999999</v>
      </c>
      <c r="O20" s="32">
        <f t="shared" si="3"/>
        <v>1354671.94</v>
      </c>
      <c r="P20" s="32">
        <f t="shared" si="3"/>
        <v>1463776.96</v>
      </c>
      <c r="Q20" s="32">
        <f t="shared" si="3"/>
        <v>1788402.4</v>
      </c>
      <c r="R20" s="32">
        <f t="shared" si="3"/>
        <v>1932394.5199999998</v>
      </c>
      <c r="S20" s="32">
        <f t="shared" si="3"/>
        <v>1599583.2799999998</v>
      </c>
      <c r="T20" s="19">
        <f>ROUNDDOWN(SUM(H20:S20),0)</f>
        <v>19500329</v>
      </c>
    </row>
    <row r="21" spans="1:20" x14ac:dyDescent="0.45">
      <c r="A21" s="93" t="s">
        <v>37</v>
      </c>
      <c r="B21" s="93"/>
      <c r="C21" s="93"/>
      <c r="D21" s="18">
        <f>T18+T20</f>
        <v>19500329</v>
      </c>
      <c r="G21" s="33"/>
      <c r="H21" s="33"/>
      <c r="I21" s="33"/>
      <c r="J21" s="33"/>
      <c r="K21" s="34"/>
      <c r="L21" s="34"/>
      <c r="M21" s="34"/>
      <c r="N21" s="34"/>
      <c r="O21" s="34"/>
      <c r="P21" s="34"/>
      <c r="Q21" s="34"/>
      <c r="R21" s="34"/>
      <c r="S21" s="34"/>
      <c r="T21" s="34"/>
    </row>
    <row r="22" spans="1:20" x14ac:dyDescent="0.45">
      <c r="G22" s="33"/>
      <c r="H22" s="33"/>
      <c r="I22" s="33"/>
      <c r="J22" s="33"/>
      <c r="K22" s="34"/>
      <c r="L22" s="34"/>
      <c r="M22" s="34"/>
      <c r="N22" s="34"/>
      <c r="O22" s="34"/>
      <c r="P22" s="34"/>
      <c r="Q22" s="34"/>
      <c r="R22" s="34"/>
      <c r="S22" s="34"/>
      <c r="T22" s="34"/>
    </row>
    <row r="23" spans="1:20" x14ac:dyDescent="0.45">
      <c r="A23" s="10" t="s">
        <v>38</v>
      </c>
      <c r="G23" s="33"/>
      <c r="H23" s="33"/>
      <c r="I23" s="33"/>
      <c r="J23" s="33"/>
      <c r="K23" s="34"/>
      <c r="L23" s="34"/>
      <c r="M23" s="34"/>
      <c r="N23" s="34"/>
      <c r="O23" s="34"/>
      <c r="P23" s="34"/>
      <c r="Q23" s="34"/>
      <c r="R23" s="34"/>
      <c r="S23" s="34"/>
      <c r="T23" s="34"/>
    </row>
    <row r="24" spans="1:20" x14ac:dyDescent="0.45">
      <c r="A24" s="101" t="s">
        <v>73</v>
      </c>
      <c r="B24" s="101"/>
      <c r="C24" s="101"/>
      <c r="D24" s="102">
        <f>D12-D21-4989</f>
        <v>0</v>
      </c>
      <c r="Q24" s="93" t="s">
        <v>39</v>
      </c>
      <c r="R24" s="93"/>
      <c r="S24" s="93"/>
      <c r="T24" s="35" t="s">
        <v>40</v>
      </c>
    </row>
    <row r="25" spans="1:20" x14ac:dyDescent="0.45">
      <c r="A25" s="101"/>
      <c r="B25" s="101"/>
      <c r="C25" s="101"/>
      <c r="D25" s="102"/>
      <c r="Q25" s="93" t="s">
        <v>41</v>
      </c>
      <c r="R25" s="93"/>
      <c r="S25" s="93"/>
      <c r="T25" s="36">
        <f>D17</f>
        <v>0</v>
      </c>
    </row>
    <row r="26" spans="1:20" x14ac:dyDescent="0.45">
      <c r="A26" s="101"/>
      <c r="B26" s="101"/>
      <c r="C26" s="101"/>
      <c r="D26" s="102"/>
      <c r="Q26" s="93" t="s">
        <v>42</v>
      </c>
      <c r="R26" s="93"/>
      <c r="S26" s="93"/>
      <c r="T26" s="37">
        <f>D17/D16*100</f>
        <v>0</v>
      </c>
    </row>
    <row r="27" spans="1:20" x14ac:dyDescent="0.45">
      <c r="A27" s="101"/>
      <c r="B27" s="101"/>
      <c r="C27" s="101"/>
      <c r="D27" s="103"/>
      <c r="Q27" s="93" t="s">
        <v>43</v>
      </c>
      <c r="R27" s="93"/>
      <c r="S27" s="93"/>
      <c r="T27" s="52">
        <f>T25*0.00036</f>
        <v>0</v>
      </c>
    </row>
    <row r="28" spans="1:20" x14ac:dyDescent="0.45">
      <c r="A28" s="94" t="s">
        <v>44</v>
      </c>
      <c r="B28" s="94"/>
      <c r="C28" s="91"/>
      <c r="D28" s="51">
        <v>20</v>
      </c>
      <c r="Q28" s="2" t="s">
        <v>68</v>
      </c>
    </row>
    <row r="29" spans="1:20" x14ac:dyDescent="0.45">
      <c r="A29" s="99" t="s">
        <v>71</v>
      </c>
      <c r="B29" s="99"/>
      <c r="C29" s="99"/>
      <c r="D29" s="40">
        <f>D12*20-(D21*D28+D12*(20-D28))-4989*D28</f>
        <v>0</v>
      </c>
    </row>
    <row r="32" spans="1:20" ht="18.600000000000001" x14ac:dyDescent="0.45">
      <c r="A32" s="8" t="s">
        <v>47</v>
      </c>
      <c r="B32" s="9"/>
      <c r="C32" s="9"/>
      <c r="D32" s="9"/>
      <c r="T32" s="11"/>
    </row>
    <row r="33" spans="1:20" x14ac:dyDescent="0.45">
      <c r="A33" s="10" t="s">
        <v>67</v>
      </c>
      <c r="D33" s="11"/>
      <c r="F33" s="2" t="s">
        <v>6</v>
      </c>
      <c r="H33" s="12" t="s">
        <v>7</v>
      </c>
      <c r="I33" s="12" t="s">
        <v>8</v>
      </c>
      <c r="J33" s="12" t="s">
        <v>9</v>
      </c>
      <c r="K33" s="12" t="s">
        <v>10</v>
      </c>
      <c r="L33" s="12" t="s">
        <v>11</v>
      </c>
      <c r="M33" s="12" t="s">
        <v>12</v>
      </c>
      <c r="N33" s="12" t="s">
        <v>13</v>
      </c>
      <c r="O33" s="12" t="s">
        <v>14</v>
      </c>
      <c r="P33" s="12" t="s">
        <v>15</v>
      </c>
      <c r="Q33" s="12" t="s">
        <v>16</v>
      </c>
      <c r="R33" s="12" t="s">
        <v>17</v>
      </c>
      <c r="S33" s="13" t="s">
        <v>18</v>
      </c>
      <c r="T33" s="14" t="s">
        <v>19</v>
      </c>
    </row>
    <row r="34" spans="1:20" x14ac:dyDescent="0.45">
      <c r="A34" s="88" t="s">
        <v>20</v>
      </c>
      <c r="B34" s="89"/>
      <c r="C34" s="90"/>
      <c r="D34" s="54">
        <f>T34</f>
        <v>148997</v>
      </c>
      <c r="F34" s="91" t="s">
        <v>21</v>
      </c>
      <c r="G34" s="92"/>
      <c r="H34" s="53">
        <v>9410</v>
      </c>
      <c r="I34" s="54">
        <v>10548</v>
      </c>
      <c r="J34" s="54">
        <v>17427</v>
      </c>
      <c r="K34" s="54">
        <v>16839</v>
      </c>
      <c r="L34" s="54">
        <v>6791</v>
      </c>
      <c r="M34" s="54">
        <v>15559</v>
      </c>
      <c r="N34" s="54">
        <v>11318</v>
      </c>
      <c r="O34" s="54">
        <v>11890</v>
      </c>
      <c r="P34" s="54">
        <v>11209</v>
      </c>
      <c r="Q34" s="54">
        <v>12749</v>
      </c>
      <c r="R34" s="54">
        <v>14150</v>
      </c>
      <c r="S34" s="54">
        <v>11107</v>
      </c>
      <c r="T34" s="57">
        <f>SUM(H34:S34)</f>
        <v>148997</v>
      </c>
    </row>
    <row r="35" spans="1:20" x14ac:dyDescent="0.45">
      <c r="A35" s="93" t="s">
        <v>22</v>
      </c>
      <c r="B35" s="93"/>
      <c r="C35" s="93"/>
      <c r="D35" s="59">
        <f>T35</f>
        <v>4476470</v>
      </c>
      <c r="F35" s="93" t="s">
        <v>23</v>
      </c>
      <c r="G35" s="93"/>
      <c r="H35" s="55">
        <v>336812</v>
      </c>
      <c r="I35" s="56">
        <v>350316</v>
      </c>
      <c r="J35" s="56">
        <v>462081</v>
      </c>
      <c r="K35" s="56">
        <v>456351</v>
      </c>
      <c r="L35" s="56">
        <v>272123</v>
      </c>
      <c r="M35" s="56">
        <v>439245</v>
      </c>
      <c r="N35" s="56">
        <v>347656</v>
      </c>
      <c r="O35" s="56">
        <v>355001</v>
      </c>
      <c r="P35" s="56">
        <v>343920</v>
      </c>
      <c r="Q35" s="56">
        <v>370535</v>
      </c>
      <c r="R35" s="56">
        <v>396762</v>
      </c>
      <c r="S35" s="56">
        <v>345668</v>
      </c>
      <c r="T35" s="58">
        <f>SUM(H35:S35)</f>
        <v>4476470</v>
      </c>
    </row>
    <row r="36" spans="1:20" x14ac:dyDescent="0.45">
      <c r="A36" s="88" t="s">
        <v>24</v>
      </c>
      <c r="B36" s="89"/>
      <c r="C36" s="90"/>
      <c r="D36" s="60">
        <f>ROUNDDOWN(D35/D34,2)</f>
        <v>30.04</v>
      </c>
      <c r="T36" s="11"/>
    </row>
    <row r="37" spans="1:20" x14ac:dyDescent="0.45">
      <c r="A37" s="21"/>
      <c r="T37" s="11"/>
    </row>
    <row r="38" spans="1:20" x14ac:dyDescent="0.45">
      <c r="A38" s="10" t="s">
        <v>25</v>
      </c>
      <c r="D38" s="11"/>
      <c r="F38" s="2" t="s">
        <v>6</v>
      </c>
      <c r="H38" s="12" t="s">
        <v>7</v>
      </c>
      <c r="I38" s="12" t="s">
        <v>8</v>
      </c>
      <c r="J38" s="12" t="s">
        <v>9</v>
      </c>
      <c r="K38" s="12" t="s">
        <v>10</v>
      </c>
      <c r="L38" s="12" t="s">
        <v>11</v>
      </c>
      <c r="M38" s="12" t="s">
        <v>12</v>
      </c>
      <c r="N38" s="12" t="s">
        <v>13</v>
      </c>
      <c r="O38" s="12" t="s">
        <v>14</v>
      </c>
      <c r="P38" s="12" t="s">
        <v>15</v>
      </c>
      <c r="Q38" s="12" t="s">
        <v>16</v>
      </c>
      <c r="R38" s="12" t="s">
        <v>17</v>
      </c>
      <c r="S38" s="13" t="s">
        <v>18</v>
      </c>
      <c r="T38" s="14" t="s">
        <v>19</v>
      </c>
    </row>
    <row r="39" spans="1:20" ht="18.600000000000001" thickBot="1" x14ac:dyDescent="0.5">
      <c r="A39" s="88" t="s">
        <v>20</v>
      </c>
      <c r="B39" s="89"/>
      <c r="C39" s="90"/>
      <c r="D39" s="54">
        <f>D34</f>
        <v>148997</v>
      </c>
      <c r="F39" s="91" t="s">
        <v>21</v>
      </c>
      <c r="G39" s="92"/>
      <c r="H39" s="61">
        <f>H34</f>
        <v>9410</v>
      </c>
      <c r="I39" s="61">
        <f t="shared" ref="I39:R39" si="4">I34</f>
        <v>10548</v>
      </c>
      <c r="J39" s="61">
        <f t="shared" si="4"/>
        <v>17427</v>
      </c>
      <c r="K39" s="61">
        <f t="shared" si="4"/>
        <v>16839</v>
      </c>
      <c r="L39" s="61">
        <f t="shared" si="4"/>
        <v>6791</v>
      </c>
      <c r="M39" s="61">
        <f t="shared" si="4"/>
        <v>15559</v>
      </c>
      <c r="N39" s="61">
        <f t="shared" si="4"/>
        <v>11318</v>
      </c>
      <c r="O39" s="61">
        <f t="shared" si="4"/>
        <v>11890</v>
      </c>
      <c r="P39" s="61">
        <f t="shared" si="4"/>
        <v>11209</v>
      </c>
      <c r="Q39" s="61">
        <f t="shared" si="4"/>
        <v>12749</v>
      </c>
      <c r="R39" s="61">
        <f t="shared" si="4"/>
        <v>14150</v>
      </c>
      <c r="S39" s="62">
        <f>S34</f>
        <v>11107</v>
      </c>
      <c r="T39" s="57">
        <f>T34</f>
        <v>148997</v>
      </c>
    </row>
    <row r="40" spans="1:20" ht="18.600000000000001" thickBot="1" x14ac:dyDescent="0.5">
      <c r="A40" s="94" t="s">
        <v>26</v>
      </c>
      <c r="B40" s="88" t="s">
        <v>27</v>
      </c>
      <c r="C40" s="90"/>
      <c r="D40" s="44">
        <f>T40</f>
        <v>0</v>
      </c>
      <c r="F40" s="96" t="s">
        <v>26</v>
      </c>
      <c r="G40" s="23" t="s">
        <v>28</v>
      </c>
      <c r="H40" s="24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6"/>
      <c r="T40" s="27">
        <f>SUM(H40:S40)</f>
        <v>0</v>
      </c>
    </row>
    <row r="41" spans="1:20" x14ac:dyDescent="0.45">
      <c r="A41" s="95"/>
      <c r="B41" s="88" t="s">
        <v>29</v>
      </c>
      <c r="C41" s="89"/>
      <c r="D41" s="50">
        <f>D18</f>
        <v>0</v>
      </c>
      <c r="F41" s="97"/>
      <c r="G41" s="23" t="s">
        <v>30</v>
      </c>
      <c r="H41" s="29">
        <f>ROUNDDOWN(H40*$D$41,0)</f>
        <v>0</v>
      </c>
      <c r="I41" s="29">
        <f t="shared" ref="I41:R41" si="5">ROUNDDOWN(I40*$D$41,0)</f>
        <v>0</v>
      </c>
      <c r="J41" s="29">
        <f t="shared" si="5"/>
        <v>0</v>
      </c>
      <c r="K41" s="29">
        <f t="shared" si="5"/>
        <v>0</v>
      </c>
      <c r="L41" s="29">
        <f t="shared" si="5"/>
        <v>0</v>
      </c>
      <c r="M41" s="29">
        <f t="shared" si="5"/>
        <v>0</v>
      </c>
      <c r="N41" s="29">
        <f t="shared" si="5"/>
        <v>0</v>
      </c>
      <c r="O41" s="29">
        <f t="shared" si="5"/>
        <v>0</v>
      </c>
      <c r="P41" s="29">
        <f t="shared" si="5"/>
        <v>0</v>
      </c>
      <c r="Q41" s="29">
        <f t="shared" si="5"/>
        <v>0</v>
      </c>
      <c r="R41" s="29">
        <f t="shared" si="5"/>
        <v>0</v>
      </c>
      <c r="S41" s="29">
        <f>ROUNDDOWN(S40*$D$41,0)</f>
        <v>0</v>
      </c>
      <c r="T41" s="19">
        <f>SUM(H41:S41)</f>
        <v>0</v>
      </c>
    </row>
    <row r="42" spans="1:20" x14ac:dyDescent="0.45">
      <c r="A42" s="94" t="s">
        <v>31</v>
      </c>
      <c r="B42" s="88" t="s">
        <v>32</v>
      </c>
      <c r="C42" s="90"/>
      <c r="D42" s="30">
        <f>D39-D40</f>
        <v>148997</v>
      </c>
      <c r="F42" s="100" t="s">
        <v>33</v>
      </c>
      <c r="G42" s="23" t="s">
        <v>34</v>
      </c>
      <c r="H42" s="32">
        <f>H39-H40</f>
        <v>9410</v>
      </c>
      <c r="I42" s="32">
        <f t="shared" ref="I42:S42" si="6">I39-I40</f>
        <v>10548</v>
      </c>
      <c r="J42" s="32">
        <f t="shared" si="6"/>
        <v>17427</v>
      </c>
      <c r="K42" s="32">
        <f t="shared" si="6"/>
        <v>16839</v>
      </c>
      <c r="L42" s="32">
        <f t="shared" si="6"/>
        <v>6791</v>
      </c>
      <c r="M42" s="32">
        <f t="shared" si="6"/>
        <v>15559</v>
      </c>
      <c r="N42" s="32">
        <f t="shared" si="6"/>
        <v>11318</v>
      </c>
      <c r="O42" s="32">
        <f t="shared" si="6"/>
        <v>11890</v>
      </c>
      <c r="P42" s="32">
        <f t="shared" si="6"/>
        <v>11209</v>
      </c>
      <c r="Q42" s="32">
        <f t="shared" si="6"/>
        <v>12749</v>
      </c>
      <c r="R42" s="32">
        <f t="shared" si="6"/>
        <v>14150</v>
      </c>
      <c r="S42" s="32">
        <f t="shared" si="6"/>
        <v>11107</v>
      </c>
      <c r="T42" s="17">
        <f>SUM(H42:S42)</f>
        <v>148997</v>
      </c>
    </row>
    <row r="43" spans="1:20" x14ac:dyDescent="0.45">
      <c r="A43" s="95"/>
      <c r="B43" s="88" t="s">
        <v>35</v>
      </c>
      <c r="C43" s="90"/>
      <c r="D43" s="20">
        <f>D36</f>
        <v>30.04</v>
      </c>
      <c r="F43" s="100"/>
      <c r="G43" s="23" t="s">
        <v>36</v>
      </c>
      <c r="H43" s="32">
        <f>H42*$D43</f>
        <v>282676.39999999997</v>
      </c>
      <c r="I43" s="32">
        <f t="shared" ref="I43:R43" si="7">I42*$D43</f>
        <v>316861.92</v>
      </c>
      <c r="J43" s="32">
        <f t="shared" si="7"/>
        <v>523507.07999999996</v>
      </c>
      <c r="K43" s="32">
        <f t="shared" si="7"/>
        <v>505843.56</v>
      </c>
      <c r="L43" s="32">
        <f t="shared" si="7"/>
        <v>204001.63999999998</v>
      </c>
      <c r="M43" s="32">
        <f t="shared" si="7"/>
        <v>467392.36</v>
      </c>
      <c r="N43" s="32">
        <f t="shared" si="7"/>
        <v>339992.72</v>
      </c>
      <c r="O43" s="32">
        <f t="shared" si="7"/>
        <v>357175.6</v>
      </c>
      <c r="P43" s="32">
        <f t="shared" si="7"/>
        <v>336718.36</v>
      </c>
      <c r="Q43" s="32">
        <f t="shared" si="7"/>
        <v>382979.95999999996</v>
      </c>
      <c r="R43" s="32">
        <f t="shared" si="7"/>
        <v>425066</v>
      </c>
      <c r="S43" s="32">
        <f>S42*$D43</f>
        <v>333654.27999999997</v>
      </c>
      <c r="T43" s="19">
        <f>ROUNDDOWN(SUM(H43:S43),0)</f>
        <v>4475869</v>
      </c>
    </row>
    <row r="44" spans="1:20" x14ac:dyDescent="0.45">
      <c r="A44" s="93" t="s">
        <v>37</v>
      </c>
      <c r="B44" s="93"/>
      <c r="C44" s="93"/>
      <c r="D44" s="18">
        <f>T41+T43</f>
        <v>4475869</v>
      </c>
      <c r="F44" s="46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</row>
    <row r="45" spans="1:20" x14ac:dyDescent="0.45">
      <c r="F45" s="46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</row>
    <row r="46" spans="1:20" x14ac:dyDescent="0.45">
      <c r="A46" s="10" t="s">
        <v>38</v>
      </c>
      <c r="G46" s="47"/>
      <c r="H46" s="33"/>
      <c r="I46" s="33"/>
      <c r="J46" s="33"/>
      <c r="K46" s="34"/>
      <c r="L46" s="34"/>
      <c r="M46" s="34"/>
      <c r="N46" s="34"/>
      <c r="O46" s="34"/>
      <c r="P46" s="34"/>
    </row>
    <row r="47" spans="1:20" x14ac:dyDescent="0.45">
      <c r="A47" s="101" t="s">
        <v>74</v>
      </c>
      <c r="B47" s="101"/>
      <c r="C47" s="101"/>
      <c r="D47" s="102">
        <f>D35-D44-601</f>
        <v>0</v>
      </c>
      <c r="I47" s="34"/>
      <c r="Q47" s="93" t="s">
        <v>39</v>
      </c>
      <c r="R47" s="93"/>
      <c r="S47" s="93"/>
      <c r="T47" s="35" t="s">
        <v>40</v>
      </c>
    </row>
    <row r="48" spans="1:20" x14ac:dyDescent="0.45">
      <c r="A48" s="101"/>
      <c r="B48" s="101"/>
      <c r="C48" s="101"/>
      <c r="D48" s="102"/>
      <c r="Q48" s="93" t="s">
        <v>41</v>
      </c>
      <c r="R48" s="93"/>
      <c r="S48" s="93"/>
      <c r="T48" s="36">
        <f>D40</f>
        <v>0</v>
      </c>
    </row>
    <row r="49" spans="1:20" x14ac:dyDescent="0.45">
      <c r="A49" s="101"/>
      <c r="B49" s="101"/>
      <c r="C49" s="101"/>
      <c r="D49" s="102"/>
      <c r="Q49" s="93" t="s">
        <v>42</v>
      </c>
      <c r="R49" s="93"/>
      <c r="S49" s="93"/>
      <c r="T49" s="37">
        <f>D40/D39*100</f>
        <v>0</v>
      </c>
    </row>
    <row r="50" spans="1:20" x14ac:dyDescent="0.45">
      <c r="A50" s="101"/>
      <c r="B50" s="101"/>
      <c r="C50" s="101"/>
      <c r="D50" s="102"/>
      <c r="Q50" s="93" t="s">
        <v>43</v>
      </c>
      <c r="R50" s="93"/>
      <c r="S50" s="93"/>
      <c r="T50" s="52">
        <f>T48*0.00036</f>
        <v>0</v>
      </c>
    </row>
    <row r="51" spans="1:20" x14ac:dyDescent="0.45">
      <c r="A51" s="94" t="s">
        <v>44</v>
      </c>
      <c r="B51" s="94"/>
      <c r="C51" s="91"/>
      <c r="D51" s="51">
        <v>20</v>
      </c>
      <c r="H51" s="48"/>
      <c r="I51" s="34"/>
      <c r="Q51" s="2" t="s">
        <v>68</v>
      </c>
    </row>
    <row r="52" spans="1:20" x14ac:dyDescent="0.45">
      <c r="A52" s="99" t="s">
        <v>71</v>
      </c>
      <c r="B52" s="99"/>
      <c r="C52" s="99"/>
      <c r="D52" s="40">
        <f>D35*20-(D44*D51+D35*(20-D51))-601*D51</f>
        <v>0</v>
      </c>
    </row>
    <row r="55" spans="1:20" ht="18.600000000000001" x14ac:dyDescent="0.45">
      <c r="A55" s="8" t="s">
        <v>51</v>
      </c>
      <c r="B55" s="9"/>
      <c r="C55" s="9"/>
      <c r="D55" s="9"/>
    </row>
    <row r="56" spans="1:20" x14ac:dyDescent="0.45">
      <c r="A56" s="10" t="s">
        <v>67</v>
      </c>
      <c r="D56" s="11"/>
      <c r="F56" s="2" t="s">
        <v>6</v>
      </c>
      <c r="H56" s="12" t="s">
        <v>7</v>
      </c>
      <c r="I56" s="12" t="s">
        <v>8</v>
      </c>
      <c r="J56" s="12" t="s">
        <v>9</v>
      </c>
      <c r="K56" s="12" t="s">
        <v>10</v>
      </c>
      <c r="L56" s="12" t="s">
        <v>11</v>
      </c>
      <c r="M56" s="12" t="s">
        <v>12</v>
      </c>
      <c r="N56" s="12" t="s">
        <v>13</v>
      </c>
      <c r="O56" s="12" t="s">
        <v>14</v>
      </c>
      <c r="P56" s="12" t="s">
        <v>15</v>
      </c>
      <c r="Q56" s="12" t="s">
        <v>16</v>
      </c>
      <c r="R56" s="12" t="s">
        <v>17</v>
      </c>
      <c r="S56" s="13" t="s">
        <v>18</v>
      </c>
      <c r="T56" s="14" t="s">
        <v>19</v>
      </c>
    </row>
    <row r="57" spans="1:20" x14ac:dyDescent="0.45">
      <c r="A57" s="88" t="s">
        <v>20</v>
      </c>
      <c r="B57" s="89"/>
      <c r="C57" s="90"/>
      <c r="D57" s="54">
        <f>T57</f>
        <v>209988</v>
      </c>
      <c r="F57" s="91" t="s">
        <v>21</v>
      </c>
      <c r="G57" s="92"/>
      <c r="H57" s="56">
        <v>14443</v>
      </c>
      <c r="I57" s="56">
        <v>15976</v>
      </c>
      <c r="J57" s="56">
        <v>19555</v>
      </c>
      <c r="K57" s="56">
        <v>21431</v>
      </c>
      <c r="L57" s="56">
        <v>14391</v>
      </c>
      <c r="M57" s="56">
        <v>22621</v>
      </c>
      <c r="N57" s="56">
        <v>16482</v>
      </c>
      <c r="O57" s="56">
        <v>16802</v>
      </c>
      <c r="P57" s="56">
        <v>17273</v>
      </c>
      <c r="Q57" s="56">
        <v>17428</v>
      </c>
      <c r="R57" s="56">
        <v>17867</v>
      </c>
      <c r="S57" s="56">
        <v>15719</v>
      </c>
      <c r="T57" s="57">
        <f>SUM(H57:S57)</f>
        <v>209988</v>
      </c>
    </row>
    <row r="58" spans="1:20" x14ac:dyDescent="0.45">
      <c r="A58" s="93" t="s">
        <v>22</v>
      </c>
      <c r="B58" s="93"/>
      <c r="C58" s="93"/>
      <c r="D58" s="59">
        <f>T58</f>
        <v>6191476</v>
      </c>
      <c r="F58" s="93" t="s">
        <v>23</v>
      </c>
      <c r="G58" s="93"/>
      <c r="H58" s="56">
        <v>505133</v>
      </c>
      <c r="I58" s="56">
        <v>521859</v>
      </c>
      <c r="J58" s="56">
        <v>559980</v>
      </c>
      <c r="K58" s="56">
        <v>593064</v>
      </c>
      <c r="L58" s="56">
        <v>455510</v>
      </c>
      <c r="M58" s="56">
        <v>615818</v>
      </c>
      <c r="N58" s="56">
        <v>483110</v>
      </c>
      <c r="O58" s="56">
        <v>485291</v>
      </c>
      <c r="P58" s="56">
        <v>493455</v>
      </c>
      <c r="Q58" s="56">
        <v>497426</v>
      </c>
      <c r="R58" s="56">
        <v>508330</v>
      </c>
      <c r="S58" s="56">
        <v>472500</v>
      </c>
      <c r="T58" s="58">
        <f>SUM(H58:S58)</f>
        <v>6191476</v>
      </c>
    </row>
    <row r="59" spans="1:20" x14ac:dyDescent="0.45">
      <c r="A59" s="88" t="s">
        <v>24</v>
      </c>
      <c r="B59" s="89"/>
      <c r="C59" s="90"/>
      <c r="D59" s="60">
        <f>ROUNDDOWN(D58/D57,2)</f>
        <v>29.48</v>
      </c>
      <c r="T59" s="11"/>
    </row>
    <row r="60" spans="1:20" x14ac:dyDescent="0.45">
      <c r="A60" s="21"/>
      <c r="T60" s="11"/>
    </row>
    <row r="61" spans="1:20" x14ac:dyDescent="0.45">
      <c r="A61" s="10" t="s">
        <v>25</v>
      </c>
      <c r="D61" s="11"/>
      <c r="F61" s="2" t="s">
        <v>6</v>
      </c>
      <c r="H61" s="12" t="s">
        <v>7</v>
      </c>
      <c r="I61" s="12" t="s">
        <v>8</v>
      </c>
      <c r="J61" s="12" t="s">
        <v>9</v>
      </c>
      <c r="K61" s="12" t="s">
        <v>10</v>
      </c>
      <c r="L61" s="12" t="s">
        <v>11</v>
      </c>
      <c r="M61" s="12" t="s">
        <v>12</v>
      </c>
      <c r="N61" s="12" t="s">
        <v>13</v>
      </c>
      <c r="O61" s="12" t="s">
        <v>14</v>
      </c>
      <c r="P61" s="12" t="s">
        <v>15</v>
      </c>
      <c r="Q61" s="12" t="s">
        <v>16</v>
      </c>
      <c r="R61" s="12" t="s">
        <v>17</v>
      </c>
      <c r="S61" s="13" t="s">
        <v>18</v>
      </c>
      <c r="T61" s="14" t="s">
        <v>19</v>
      </c>
    </row>
    <row r="62" spans="1:20" ht="18.600000000000001" thickBot="1" x14ac:dyDescent="0.5">
      <c r="A62" s="88" t="s">
        <v>20</v>
      </c>
      <c r="B62" s="89"/>
      <c r="C62" s="90"/>
      <c r="D62" s="54">
        <f>D57</f>
        <v>209988</v>
      </c>
      <c r="F62" s="91" t="s">
        <v>21</v>
      </c>
      <c r="G62" s="92"/>
      <c r="H62" s="63">
        <f>H57</f>
        <v>14443</v>
      </c>
      <c r="I62" s="63">
        <f t="shared" ref="I62:R62" si="8">I57</f>
        <v>15976</v>
      </c>
      <c r="J62" s="63">
        <f t="shared" si="8"/>
        <v>19555</v>
      </c>
      <c r="K62" s="63">
        <f t="shared" si="8"/>
        <v>21431</v>
      </c>
      <c r="L62" s="63">
        <f t="shared" si="8"/>
        <v>14391</v>
      </c>
      <c r="M62" s="63">
        <f t="shared" si="8"/>
        <v>22621</v>
      </c>
      <c r="N62" s="63">
        <f t="shared" si="8"/>
        <v>16482</v>
      </c>
      <c r="O62" s="63">
        <f t="shared" si="8"/>
        <v>16802</v>
      </c>
      <c r="P62" s="63">
        <f t="shared" si="8"/>
        <v>17273</v>
      </c>
      <c r="Q62" s="63">
        <f t="shared" si="8"/>
        <v>17428</v>
      </c>
      <c r="R62" s="63">
        <f t="shared" si="8"/>
        <v>17867</v>
      </c>
      <c r="S62" s="63">
        <f>S57</f>
        <v>15719</v>
      </c>
      <c r="T62" s="57">
        <f>T57</f>
        <v>209988</v>
      </c>
    </row>
    <row r="63" spans="1:20" ht="18.600000000000001" thickBot="1" x14ac:dyDescent="0.5">
      <c r="A63" s="94" t="s">
        <v>26</v>
      </c>
      <c r="B63" s="88" t="s">
        <v>27</v>
      </c>
      <c r="C63" s="90"/>
      <c r="D63" s="44">
        <f>T63</f>
        <v>0</v>
      </c>
      <c r="F63" s="96" t="s">
        <v>26</v>
      </c>
      <c r="G63" s="23" t="s">
        <v>28</v>
      </c>
      <c r="H63" s="24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6"/>
      <c r="T63" s="27">
        <f>SUM(H63:S63)</f>
        <v>0</v>
      </c>
    </row>
    <row r="64" spans="1:20" x14ac:dyDescent="0.45">
      <c r="A64" s="95"/>
      <c r="B64" s="88" t="s">
        <v>29</v>
      </c>
      <c r="C64" s="89"/>
      <c r="D64" s="50">
        <f>D18</f>
        <v>0</v>
      </c>
      <c r="F64" s="97"/>
      <c r="G64" s="23" t="s">
        <v>30</v>
      </c>
      <c r="H64" s="29">
        <f t="shared" ref="H64:S64" si="9">ROUNDDOWN(H63*$D$18,0)</f>
        <v>0</v>
      </c>
      <c r="I64" s="29">
        <f t="shared" si="9"/>
        <v>0</v>
      </c>
      <c r="J64" s="29">
        <f t="shared" si="9"/>
        <v>0</v>
      </c>
      <c r="K64" s="29">
        <f t="shared" si="9"/>
        <v>0</v>
      </c>
      <c r="L64" s="29">
        <f t="shared" si="9"/>
        <v>0</v>
      </c>
      <c r="M64" s="29">
        <f t="shared" si="9"/>
        <v>0</v>
      </c>
      <c r="N64" s="29">
        <f t="shared" si="9"/>
        <v>0</v>
      </c>
      <c r="O64" s="29">
        <f t="shared" si="9"/>
        <v>0</v>
      </c>
      <c r="P64" s="29">
        <f t="shared" si="9"/>
        <v>0</v>
      </c>
      <c r="Q64" s="29">
        <f t="shared" si="9"/>
        <v>0</v>
      </c>
      <c r="R64" s="29">
        <f t="shared" si="9"/>
        <v>0</v>
      </c>
      <c r="S64" s="29">
        <f t="shared" si="9"/>
        <v>0</v>
      </c>
      <c r="T64" s="19">
        <f>SUM(H64:S64)</f>
        <v>0</v>
      </c>
    </row>
    <row r="65" spans="1:20" x14ac:dyDescent="0.45">
      <c r="A65" s="93" t="s">
        <v>31</v>
      </c>
      <c r="B65" s="88" t="s">
        <v>32</v>
      </c>
      <c r="C65" s="90"/>
      <c r="D65" s="30">
        <f>D62-D63</f>
        <v>209988</v>
      </c>
      <c r="F65" s="100" t="s">
        <v>33</v>
      </c>
      <c r="G65" s="31" t="s">
        <v>34</v>
      </c>
      <c r="H65" s="32">
        <f t="shared" ref="H65:S65" si="10">H62-H63</f>
        <v>14443</v>
      </c>
      <c r="I65" s="32">
        <f t="shared" si="10"/>
        <v>15976</v>
      </c>
      <c r="J65" s="32">
        <f t="shared" si="10"/>
        <v>19555</v>
      </c>
      <c r="K65" s="32">
        <f t="shared" si="10"/>
        <v>21431</v>
      </c>
      <c r="L65" s="32">
        <f t="shared" si="10"/>
        <v>14391</v>
      </c>
      <c r="M65" s="32">
        <f t="shared" si="10"/>
        <v>22621</v>
      </c>
      <c r="N65" s="32">
        <f t="shared" si="10"/>
        <v>16482</v>
      </c>
      <c r="O65" s="32">
        <f t="shared" si="10"/>
        <v>16802</v>
      </c>
      <c r="P65" s="32">
        <f t="shared" si="10"/>
        <v>17273</v>
      </c>
      <c r="Q65" s="32">
        <f t="shared" si="10"/>
        <v>17428</v>
      </c>
      <c r="R65" s="32">
        <f t="shared" si="10"/>
        <v>17867</v>
      </c>
      <c r="S65" s="32">
        <f t="shared" si="10"/>
        <v>15719</v>
      </c>
      <c r="T65" s="17">
        <f>SUM(H65:S65)</f>
        <v>209988</v>
      </c>
    </row>
    <row r="66" spans="1:20" x14ac:dyDescent="0.45">
      <c r="A66" s="93"/>
      <c r="B66" s="88" t="s">
        <v>35</v>
      </c>
      <c r="C66" s="90"/>
      <c r="D66" s="20">
        <f>D59</f>
        <v>29.48</v>
      </c>
      <c r="F66" s="100"/>
      <c r="G66" s="23" t="s">
        <v>36</v>
      </c>
      <c r="H66" s="32">
        <f>H65*$D66</f>
        <v>425779.64</v>
      </c>
      <c r="I66" s="32">
        <f t="shared" ref="I66:S66" si="11">I65*$D66</f>
        <v>470972.48</v>
      </c>
      <c r="J66" s="32">
        <f t="shared" si="11"/>
        <v>576481.4</v>
      </c>
      <c r="K66" s="32">
        <f t="shared" si="11"/>
        <v>631785.88</v>
      </c>
      <c r="L66" s="32">
        <f t="shared" si="11"/>
        <v>424246.68</v>
      </c>
      <c r="M66" s="32">
        <f t="shared" si="11"/>
        <v>666867.07999999996</v>
      </c>
      <c r="N66" s="32">
        <f t="shared" si="11"/>
        <v>485889.36</v>
      </c>
      <c r="O66" s="32">
        <f t="shared" si="11"/>
        <v>495322.96</v>
      </c>
      <c r="P66" s="32">
        <f t="shared" si="11"/>
        <v>509208.04</v>
      </c>
      <c r="Q66" s="32">
        <f t="shared" si="11"/>
        <v>513777.44</v>
      </c>
      <c r="R66" s="32">
        <f t="shared" si="11"/>
        <v>526719.16</v>
      </c>
      <c r="S66" s="32">
        <f t="shared" si="11"/>
        <v>463396.12</v>
      </c>
      <c r="T66" s="19">
        <f>ROUNDDOWN(SUM(H66:S66),0)</f>
        <v>6190446</v>
      </c>
    </row>
    <row r="67" spans="1:20" x14ac:dyDescent="0.45">
      <c r="A67" s="93" t="s">
        <v>37</v>
      </c>
      <c r="B67" s="93"/>
      <c r="C67" s="93"/>
      <c r="D67" s="18">
        <f>T64+T66</f>
        <v>6190446</v>
      </c>
      <c r="G67" s="33"/>
      <c r="H67" s="33"/>
      <c r="I67" s="33"/>
      <c r="J67" s="33"/>
      <c r="K67" s="34"/>
      <c r="L67" s="34"/>
      <c r="M67" s="34"/>
      <c r="N67" s="34"/>
      <c r="O67" s="34"/>
      <c r="P67" s="34"/>
      <c r="Q67" s="34"/>
      <c r="R67" s="34"/>
      <c r="S67" s="34"/>
      <c r="T67" s="34"/>
    </row>
    <row r="68" spans="1:20" x14ac:dyDescent="0.45">
      <c r="G68" s="33"/>
      <c r="H68" s="33"/>
      <c r="I68" s="33"/>
      <c r="J68" s="33"/>
      <c r="K68" s="34"/>
      <c r="L68" s="34"/>
      <c r="M68" s="34"/>
      <c r="N68" s="34"/>
      <c r="O68" s="34"/>
      <c r="P68" s="34"/>
      <c r="Q68" s="34"/>
      <c r="R68" s="34"/>
      <c r="S68" s="34"/>
      <c r="T68" s="34"/>
    </row>
    <row r="69" spans="1:20" x14ac:dyDescent="0.45">
      <c r="A69" s="10" t="s">
        <v>38</v>
      </c>
      <c r="G69" s="33"/>
      <c r="H69" s="33"/>
      <c r="I69" s="33"/>
      <c r="J69" s="33"/>
      <c r="K69" s="34"/>
      <c r="L69" s="34"/>
      <c r="M69" s="34"/>
      <c r="N69" s="34"/>
      <c r="O69" s="34"/>
      <c r="P69" s="34"/>
      <c r="Q69" s="34"/>
      <c r="R69" s="34"/>
      <c r="S69" s="34"/>
      <c r="T69" s="34"/>
    </row>
    <row r="70" spans="1:20" x14ac:dyDescent="0.45">
      <c r="A70" s="101" t="s">
        <v>75</v>
      </c>
      <c r="B70" s="101"/>
      <c r="C70" s="101"/>
      <c r="D70" s="102">
        <f>D58-D67-1030</f>
        <v>0</v>
      </c>
      <c r="Q70" s="93" t="s">
        <v>39</v>
      </c>
      <c r="R70" s="93"/>
      <c r="S70" s="93"/>
      <c r="T70" s="35" t="s">
        <v>40</v>
      </c>
    </row>
    <row r="71" spans="1:20" x14ac:dyDescent="0.45">
      <c r="A71" s="101"/>
      <c r="B71" s="101"/>
      <c r="C71" s="101"/>
      <c r="D71" s="102"/>
      <c r="Q71" s="93" t="s">
        <v>41</v>
      </c>
      <c r="R71" s="93"/>
      <c r="S71" s="93"/>
      <c r="T71" s="36">
        <f>D63</f>
        <v>0</v>
      </c>
    </row>
    <row r="72" spans="1:20" x14ac:dyDescent="0.45">
      <c r="A72" s="101"/>
      <c r="B72" s="101"/>
      <c r="C72" s="101"/>
      <c r="D72" s="102"/>
      <c r="Q72" s="93" t="s">
        <v>42</v>
      </c>
      <c r="R72" s="93"/>
      <c r="S72" s="93"/>
      <c r="T72" s="37">
        <f>D63/D62*100</f>
        <v>0</v>
      </c>
    </row>
    <row r="73" spans="1:20" x14ac:dyDescent="0.45">
      <c r="A73" s="101"/>
      <c r="B73" s="101"/>
      <c r="C73" s="101"/>
      <c r="D73" s="103"/>
      <c r="Q73" s="93" t="s">
        <v>43</v>
      </c>
      <c r="R73" s="93"/>
      <c r="S73" s="93"/>
      <c r="T73" s="52">
        <f>T71*0.00036</f>
        <v>0</v>
      </c>
    </row>
    <row r="74" spans="1:20" x14ac:dyDescent="0.45">
      <c r="A74" s="94" t="s">
        <v>44</v>
      </c>
      <c r="B74" s="94"/>
      <c r="C74" s="91"/>
      <c r="D74" s="51">
        <v>20</v>
      </c>
      <c r="Q74" s="2" t="s">
        <v>68</v>
      </c>
    </row>
    <row r="75" spans="1:20" x14ac:dyDescent="0.45">
      <c r="A75" s="99" t="s">
        <v>71</v>
      </c>
      <c r="B75" s="99"/>
      <c r="C75" s="99"/>
      <c r="D75" s="40">
        <f>D58*20-(D67*D74+D58*(20-D74))-1030*D74</f>
        <v>0</v>
      </c>
    </row>
    <row r="79" spans="1:20" ht="18.600000000000001" x14ac:dyDescent="0.45">
      <c r="A79" s="8" t="s">
        <v>52</v>
      </c>
      <c r="B79" s="9"/>
      <c r="C79" s="9"/>
      <c r="D79" s="9"/>
    </row>
    <row r="80" spans="1:20" x14ac:dyDescent="0.45">
      <c r="A80" s="10" t="s">
        <v>67</v>
      </c>
      <c r="D80" s="11"/>
      <c r="F80" s="2" t="s">
        <v>6</v>
      </c>
      <c r="H80" s="12" t="s">
        <v>7</v>
      </c>
      <c r="I80" s="12" t="s">
        <v>8</v>
      </c>
      <c r="J80" s="12" t="s">
        <v>9</v>
      </c>
      <c r="K80" s="12" t="s">
        <v>10</v>
      </c>
      <c r="L80" s="12" t="s">
        <v>11</v>
      </c>
      <c r="M80" s="12" t="s">
        <v>12</v>
      </c>
      <c r="N80" s="12" t="s">
        <v>13</v>
      </c>
      <c r="O80" s="12" t="s">
        <v>14</v>
      </c>
      <c r="P80" s="12" t="s">
        <v>15</v>
      </c>
      <c r="Q80" s="12" t="s">
        <v>16</v>
      </c>
      <c r="R80" s="12" t="s">
        <v>17</v>
      </c>
      <c r="S80" s="13" t="s">
        <v>18</v>
      </c>
      <c r="T80" s="14" t="s">
        <v>19</v>
      </c>
    </row>
    <row r="81" spans="1:20" x14ac:dyDescent="0.45">
      <c r="A81" s="88" t="s">
        <v>20</v>
      </c>
      <c r="B81" s="89"/>
      <c r="C81" s="90"/>
      <c r="D81" s="54">
        <f>T81</f>
        <v>120774</v>
      </c>
      <c r="F81" s="91" t="s">
        <v>21</v>
      </c>
      <c r="G81" s="92"/>
      <c r="H81" s="56">
        <v>8176</v>
      </c>
      <c r="I81" s="56">
        <v>9364</v>
      </c>
      <c r="J81" s="56">
        <v>12381</v>
      </c>
      <c r="K81" s="56">
        <v>12520</v>
      </c>
      <c r="L81" s="56">
        <v>7420</v>
      </c>
      <c r="M81" s="56">
        <v>14142</v>
      </c>
      <c r="N81" s="56">
        <v>9552</v>
      </c>
      <c r="O81" s="56">
        <v>9520</v>
      </c>
      <c r="P81" s="56">
        <v>8805</v>
      </c>
      <c r="Q81" s="56">
        <v>10003</v>
      </c>
      <c r="R81" s="56">
        <v>10133</v>
      </c>
      <c r="S81" s="56">
        <v>8758</v>
      </c>
      <c r="T81" s="57">
        <f>SUM(H81:S81)</f>
        <v>120774</v>
      </c>
    </row>
    <row r="82" spans="1:20" x14ac:dyDescent="0.45">
      <c r="A82" s="93" t="s">
        <v>22</v>
      </c>
      <c r="B82" s="93"/>
      <c r="C82" s="93"/>
      <c r="D82" s="59">
        <f>T82</f>
        <v>3833716</v>
      </c>
      <c r="F82" s="93" t="s">
        <v>23</v>
      </c>
      <c r="G82" s="93"/>
      <c r="H82" s="56">
        <v>302924</v>
      </c>
      <c r="I82" s="56">
        <v>318389</v>
      </c>
      <c r="J82" s="56">
        <v>349764</v>
      </c>
      <c r="K82" s="56">
        <v>358607</v>
      </c>
      <c r="L82" s="56">
        <v>261603</v>
      </c>
      <c r="M82" s="56">
        <v>403847</v>
      </c>
      <c r="N82" s="56">
        <v>308255</v>
      </c>
      <c r="O82" s="56">
        <v>305909</v>
      </c>
      <c r="P82" s="56">
        <v>294216</v>
      </c>
      <c r="Q82" s="56">
        <v>314927</v>
      </c>
      <c r="R82" s="56">
        <v>319125</v>
      </c>
      <c r="S82" s="56">
        <v>296150</v>
      </c>
      <c r="T82" s="58">
        <f>SUM(H82:S82)</f>
        <v>3833716</v>
      </c>
    </row>
    <row r="83" spans="1:20" x14ac:dyDescent="0.45">
      <c r="A83" s="88" t="s">
        <v>24</v>
      </c>
      <c r="B83" s="89"/>
      <c r="C83" s="90"/>
      <c r="D83" s="60">
        <f>ROUNDDOWN(D82/D81,2)</f>
        <v>31.74</v>
      </c>
      <c r="T83" s="11"/>
    </row>
    <row r="84" spans="1:20" x14ac:dyDescent="0.45">
      <c r="A84" s="21"/>
      <c r="T84" s="11"/>
    </row>
    <row r="85" spans="1:20" x14ac:dyDescent="0.45">
      <c r="A85" s="10" t="s">
        <v>25</v>
      </c>
      <c r="D85" s="11"/>
      <c r="F85" s="2" t="s">
        <v>6</v>
      </c>
      <c r="H85" s="12" t="s">
        <v>7</v>
      </c>
      <c r="I85" s="12" t="s">
        <v>8</v>
      </c>
      <c r="J85" s="12" t="s">
        <v>9</v>
      </c>
      <c r="K85" s="12" t="s">
        <v>10</v>
      </c>
      <c r="L85" s="12" t="s">
        <v>11</v>
      </c>
      <c r="M85" s="12" t="s">
        <v>12</v>
      </c>
      <c r="N85" s="12" t="s">
        <v>13</v>
      </c>
      <c r="O85" s="12" t="s">
        <v>14</v>
      </c>
      <c r="P85" s="12" t="s">
        <v>15</v>
      </c>
      <c r="Q85" s="12" t="s">
        <v>16</v>
      </c>
      <c r="R85" s="12" t="s">
        <v>17</v>
      </c>
      <c r="S85" s="13" t="s">
        <v>18</v>
      </c>
      <c r="T85" s="14" t="s">
        <v>19</v>
      </c>
    </row>
    <row r="86" spans="1:20" ht="18.600000000000001" thickBot="1" x14ac:dyDescent="0.5">
      <c r="A86" s="88" t="s">
        <v>20</v>
      </c>
      <c r="B86" s="89"/>
      <c r="C86" s="90"/>
      <c r="D86" s="54">
        <f>D81</f>
        <v>120774</v>
      </c>
      <c r="F86" s="91" t="s">
        <v>21</v>
      </c>
      <c r="G86" s="92"/>
      <c r="H86" s="63">
        <f>H81</f>
        <v>8176</v>
      </c>
      <c r="I86" s="63">
        <f t="shared" ref="I86:R86" si="12">I81</f>
        <v>9364</v>
      </c>
      <c r="J86" s="63">
        <f t="shared" si="12"/>
        <v>12381</v>
      </c>
      <c r="K86" s="63">
        <f t="shared" si="12"/>
        <v>12520</v>
      </c>
      <c r="L86" s="63">
        <f t="shared" si="12"/>
        <v>7420</v>
      </c>
      <c r="M86" s="63">
        <f t="shared" si="12"/>
        <v>14142</v>
      </c>
      <c r="N86" s="63">
        <f t="shared" si="12"/>
        <v>9552</v>
      </c>
      <c r="O86" s="63">
        <f t="shared" si="12"/>
        <v>9520</v>
      </c>
      <c r="P86" s="63">
        <f t="shared" si="12"/>
        <v>8805</v>
      </c>
      <c r="Q86" s="63">
        <f t="shared" si="12"/>
        <v>10003</v>
      </c>
      <c r="R86" s="63">
        <f t="shared" si="12"/>
        <v>10133</v>
      </c>
      <c r="S86" s="63">
        <f>S81</f>
        <v>8758</v>
      </c>
      <c r="T86" s="57">
        <f>T81</f>
        <v>120774</v>
      </c>
    </row>
    <row r="87" spans="1:20" ht="18.600000000000001" thickBot="1" x14ac:dyDescent="0.5">
      <c r="A87" s="94" t="s">
        <v>26</v>
      </c>
      <c r="B87" s="88" t="s">
        <v>27</v>
      </c>
      <c r="C87" s="90"/>
      <c r="D87" s="44">
        <f>T87</f>
        <v>0</v>
      </c>
      <c r="F87" s="96" t="s">
        <v>26</v>
      </c>
      <c r="G87" s="23" t="s">
        <v>28</v>
      </c>
      <c r="H87" s="24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6"/>
      <c r="T87" s="27">
        <f>SUM(H87:S87)</f>
        <v>0</v>
      </c>
    </row>
    <row r="88" spans="1:20" x14ac:dyDescent="0.45">
      <c r="A88" s="95"/>
      <c r="B88" s="88" t="s">
        <v>29</v>
      </c>
      <c r="C88" s="89"/>
      <c r="D88" s="50">
        <f>D18</f>
        <v>0</v>
      </c>
      <c r="F88" s="97"/>
      <c r="G88" s="23" t="s">
        <v>30</v>
      </c>
      <c r="H88" s="29">
        <f t="shared" ref="H88:S88" si="13">ROUNDDOWN(H87*$D$18,0)</f>
        <v>0</v>
      </c>
      <c r="I88" s="29">
        <f t="shared" si="13"/>
        <v>0</v>
      </c>
      <c r="J88" s="29">
        <f t="shared" si="13"/>
        <v>0</v>
      </c>
      <c r="K88" s="29">
        <f t="shared" si="13"/>
        <v>0</v>
      </c>
      <c r="L88" s="29">
        <f t="shared" si="13"/>
        <v>0</v>
      </c>
      <c r="M88" s="29">
        <f t="shared" si="13"/>
        <v>0</v>
      </c>
      <c r="N88" s="29">
        <f t="shared" si="13"/>
        <v>0</v>
      </c>
      <c r="O88" s="29">
        <f t="shared" si="13"/>
        <v>0</v>
      </c>
      <c r="P88" s="29">
        <f t="shared" si="13"/>
        <v>0</v>
      </c>
      <c r="Q88" s="29">
        <f t="shared" si="13"/>
        <v>0</v>
      </c>
      <c r="R88" s="29">
        <f t="shared" si="13"/>
        <v>0</v>
      </c>
      <c r="S88" s="29">
        <f t="shared" si="13"/>
        <v>0</v>
      </c>
      <c r="T88" s="19">
        <f>SUM(H88:S88)</f>
        <v>0</v>
      </c>
    </row>
    <row r="89" spans="1:20" x14ac:dyDescent="0.45">
      <c r="A89" s="93" t="s">
        <v>31</v>
      </c>
      <c r="B89" s="88" t="s">
        <v>32</v>
      </c>
      <c r="C89" s="90"/>
      <c r="D89" s="30">
        <f>D86-D87</f>
        <v>120774</v>
      </c>
      <c r="F89" s="100" t="s">
        <v>33</v>
      </c>
      <c r="G89" s="31" t="s">
        <v>34</v>
      </c>
      <c r="H89" s="32">
        <f t="shared" ref="H89:S89" si="14">H86-H87</f>
        <v>8176</v>
      </c>
      <c r="I89" s="32">
        <f t="shared" si="14"/>
        <v>9364</v>
      </c>
      <c r="J89" s="32">
        <f t="shared" si="14"/>
        <v>12381</v>
      </c>
      <c r="K89" s="32">
        <f t="shared" si="14"/>
        <v>12520</v>
      </c>
      <c r="L89" s="32">
        <f t="shared" si="14"/>
        <v>7420</v>
      </c>
      <c r="M89" s="32">
        <f t="shared" si="14"/>
        <v>14142</v>
      </c>
      <c r="N89" s="32">
        <f t="shared" si="14"/>
        <v>9552</v>
      </c>
      <c r="O89" s="32">
        <f t="shared" si="14"/>
        <v>9520</v>
      </c>
      <c r="P89" s="32">
        <f t="shared" si="14"/>
        <v>8805</v>
      </c>
      <c r="Q89" s="32">
        <f t="shared" si="14"/>
        <v>10003</v>
      </c>
      <c r="R89" s="32">
        <f t="shared" si="14"/>
        <v>10133</v>
      </c>
      <c r="S89" s="32">
        <f t="shared" si="14"/>
        <v>8758</v>
      </c>
      <c r="T89" s="17">
        <f>SUM(H89:S89)</f>
        <v>120774</v>
      </c>
    </row>
    <row r="90" spans="1:20" x14ac:dyDescent="0.45">
      <c r="A90" s="93"/>
      <c r="B90" s="88" t="s">
        <v>35</v>
      </c>
      <c r="C90" s="90"/>
      <c r="D90" s="20">
        <f>D83</f>
        <v>31.74</v>
      </c>
      <c r="F90" s="100"/>
      <c r="G90" s="23" t="s">
        <v>36</v>
      </c>
      <c r="H90" s="32">
        <f>H89*$D90</f>
        <v>259506.24</v>
      </c>
      <c r="I90" s="32">
        <f t="shared" ref="I90:S90" si="15">I89*$D90</f>
        <v>297213.36</v>
      </c>
      <c r="J90" s="32">
        <f t="shared" si="15"/>
        <v>392972.94</v>
      </c>
      <c r="K90" s="32">
        <f t="shared" si="15"/>
        <v>397384.8</v>
      </c>
      <c r="L90" s="32">
        <f t="shared" si="15"/>
        <v>235510.8</v>
      </c>
      <c r="M90" s="32">
        <f t="shared" si="15"/>
        <v>448867.07999999996</v>
      </c>
      <c r="N90" s="32">
        <f t="shared" si="15"/>
        <v>303180.48</v>
      </c>
      <c r="O90" s="32">
        <f t="shared" si="15"/>
        <v>302164.8</v>
      </c>
      <c r="P90" s="32">
        <f t="shared" si="15"/>
        <v>279470.7</v>
      </c>
      <c r="Q90" s="32">
        <f t="shared" si="15"/>
        <v>317495.21999999997</v>
      </c>
      <c r="R90" s="32">
        <f t="shared" si="15"/>
        <v>321621.42</v>
      </c>
      <c r="S90" s="32">
        <f t="shared" si="15"/>
        <v>277978.92</v>
      </c>
      <c r="T90" s="19">
        <f>ROUNDDOWN(SUM(H90:S90),0)</f>
        <v>3833366</v>
      </c>
    </row>
    <row r="91" spans="1:20" x14ac:dyDescent="0.45">
      <c r="A91" s="93" t="s">
        <v>37</v>
      </c>
      <c r="B91" s="93"/>
      <c r="C91" s="93"/>
      <c r="D91" s="18">
        <f>T88+T90</f>
        <v>3833366</v>
      </c>
      <c r="G91" s="33"/>
      <c r="H91" s="33"/>
      <c r="I91" s="33"/>
      <c r="J91" s="33"/>
      <c r="K91" s="34"/>
      <c r="L91" s="34"/>
      <c r="M91" s="34"/>
      <c r="N91" s="34"/>
      <c r="O91" s="34"/>
      <c r="P91" s="34"/>
      <c r="Q91" s="34"/>
      <c r="R91" s="34"/>
      <c r="S91" s="34"/>
      <c r="T91" s="34"/>
    </row>
    <row r="92" spans="1:20" x14ac:dyDescent="0.45">
      <c r="G92" s="33"/>
      <c r="H92" s="33"/>
      <c r="I92" s="33"/>
      <c r="J92" s="33"/>
      <c r="K92" s="34"/>
      <c r="L92" s="34"/>
      <c r="M92" s="34"/>
      <c r="N92" s="34"/>
      <c r="O92" s="34"/>
      <c r="P92" s="34"/>
      <c r="Q92" s="34"/>
      <c r="R92" s="34"/>
      <c r="S92" s="34"/>
      <c r="T92" s="34"/>
    </row>
    <row r="93" spans="1:20" x14ac:dyDescent="0.45">
      <c r="A93" s="10" t="s">
        <v>38</v>
      </c>
      <c r="G93" s="33"/>
      <c r="H93" s="33"/>
      <c r="I93" s="33"/>
      <c r="J93" s="33"/>
      <c r="K93" s="34"/>
      <c r="L93" s="34"/>
      <c r="M93" s="34"/>
      <c r="N93" s="34"/>
      <c r="O93" s="34"/>
      <c r="P93" s="34"/>
      <c r="Q93" s="34"/>
      <c r="R93" s="34"/>
      <c r="S93" s="34"/>
      <c r="T93" s="34"/>
    </row>
    <row r="94" spans="1:20" x14ac:dyDescent="0.45">
      <c r="A94" s="101" t="s">
        <v>76</v>
      </c>
      <c r="B94" s="101"/>
      <c r="C94" s="101"/>
      <c r="D94" s="102">
        <f>D82-D91-350</f>
        <v>0</v>
      </c>
      <c r="Q94" s="93" t="s">
        <v>39</v>
      </c>
      <c r="R94" s="93"/>
      <c r="S94" s="93"/>
      <c r="T94" s="35" t="s">
        <v>40</v>
      </c>
    </row>
    <row r="95" spans="1:20" x14ac:dyDescent="0.45">
      <c r="A95" s="101"/>
      <c r="B95" s="101"/>
      <c r="C95" s="101"/>
      <c r="D95" s="102"/>
      <c r="Q95" s="93" t="s">
        <v>41</v>
      </c>
      <c r="R95" s="93"/>
      <c r="S95" s="93"/>
      <c r="T95" s="36">
        <f>D87</f>
        <v>0</v>
      </c>
    </row>
    <row r="96" spans="1:20" x14ac:dyDescent="0.45">
      <c r="A96" s="101"/>
      <c r="B96" s="101"/>
      <c r="C96" s="101"/>
      <c r="D96" s="102"/>
      <c r="Q96" s="93" t="s">
        <v>42</v>
      </c>
      <c r="R96" s="93"/>
      <c r="S96" s="93"/>
      <c r="T96" s="37">
        <f>D87/D86*100</f>
        <v>0</v>
      </c>
    </row>
    <row r="97" spans="1:20" x14ac:dyDescent="0.45">
      <c r="A97" s="101"/>
      <c r="B97" s="101"/>
      <c r="C97" s="101"/>
      <c r="D97" s="103"/>
      <c r="Q97" s="93" t="s">
        <v>43</v>
      </c>
      <c r="R97" s="93"/>
      <c r="S97" s="93"/>
      <c r="T97" s="52">
        <f>T95*0.00036</f>
        <v>0</v>
      </c>
    </row>
    <row r="98" spans="1:20" x14ac:dyDescent="0.45">
      <c r="A98" s="94" t="s">
        <v>44</v>
      </c>
      <c r="B98" s="94"/>
      <c r="C98" s="91"/>
      <c r="D98" s="51">
        <v>20</v>
      </c>
      <c r="Q98" s="2" t="s">
        <v>68</v>
      </c>
    </row>
    <row r="99" spans="1:20" x14ac:dyDescent="0.45">
      <c r="A99" s="99" t="s">
        <v>71</v>
      </c>
      <c r="B99" s="99"/>
      <c r="C99" s="99"/>
      <c r="D99" s="40">
        <f>D82*20-(D91*D98+D82*(20-D98))-350*D98</f>
        <v>0</v>
      </c>
    </row>
    <row r="102" spans="1:20" ht="18.600000000000001" x14ac:dyDescent="0.45">
      <c r="A102" s="8" t="s">
        <v>54</v>
      </c>
      <c r="B102" s="9"/>
      <c r="C102" s="9"/>
      <c r="D102" s="9"/>
    </row>
    <row r="103" spans="1:20" x14ac:dyDescent="0.45">
      <c r="A103" s="10" t="s">
        <v>67</v>
      </c>
      <c r="D103" s="11"/>
      <c r="F103" s="2" t="s">
        <v>6</v>
      </c>
      <c r="H103" s="12" t="s">
        <v>7</v>
      </c>
      <c r="I103" s="12" t="s">
        <v>8</v>
      </c>
      <c r="J103" s="12" t="s">
        <v>9</v>
      </c>
      <c r="K103" s="12" t="s">
        <v>10</v>
      </c>
      <c r="L103" s="12" t="s">
        <v>11</v>
      </c>
      <c r="M103" s="12" t="s">
        <v>12</v>
      </c>
      <c r="N103" s="12" t="s">
        <v>13</v>
      </c>
      <c r="O103" s="12" t="s">
        <v>14</v>
      </c>
      <c r="P103" s="12" t="s">
        <v>15</v>
      </c>
      <c r="Q103" s="12" t="s">
        <v>16</v>
      </c>
      <c r="R103" s="12" t="s">
        <v>17</v>
      </c>
      <c r="S103" s="13" t="s">
        <v>18</v>
      </c>
      <c r="T103" s="14" t="s">
        <v>19</v>
      </c>
    </row>
    <row r="104" spans="1:20" x14ac:dyDescent="0.45">
      <c r="A104" s="88" t="s">
        <v>20</v>
      </c>
      <c r="B104" s="89"/>
      <c r="C104" s="90"/>
      <c r="D104" s="54">
        <f>T104</f>
        <v>151396</v>
      </c>
      <c r="F104" s="91" t="s">
        <v>21</v>
      </c>
      <c r="G104" s="92"/>
      <c r="H104" s="56">
        <v>8602</v>
      </c>
      <c r="I104" s="56">
        <v>9683</v>
      </c>
      <c r="J104" s="56">
        <v>13707</v>
      </c>
      <c r="K104" s="56">
        <v>15119</v>
      </c>
      <c r="L104" s="56">
        <v>8302</v>
      </c>
      <c r="M104" s="56">
        <v>19476</v>
      </c>
      <c r="N104" s="56">
        <v>12321</v>
      </c>
      <c r="O104" s="56">
        <v>11733</v>
      </c>
      <c r="P104" s="56">
        <v>11482</v>
      </c>
      <c r="Q104" s="56">
        <v>14313</v>
      </c>
      <c r="R104" s="56">
        <v>14210</v>
      </c>
      <c r="S104" s="56">
        <v>12448</v>
      </c>
      <c r="T104" s="57">
        <f>SUM(H104:S104)</f>
        <v>151396</v>
      </c>
    </row>
    <row r="105" spans="1:20" x14ac:dyDescent="0.45">
      <c r="A105" s="93" t="s">
        <v>22</v>
      </c>
      <c r="B105" s="93"/>
      <c r="C105" s="93"/>
      <c r="D105" s="59">
        <f>T105</f>
        <v>5182414</v>
      </c>
      <c r="F105" s="93" t="s">
        <v>23</v>
      </c>
      <c r="G105" s="93"/>
      <c r="H105" s="56">
        <v>356757</v>
      </c>
      <c r="I105" s="56">
        <v>369865</v>
      </c>
      <c r="J105" s="56">
        <v>431801</v>
      </c>
      <c r="K105" s="56">
        <v>456713</v>
      </c>
      <c r="L105" s="56">
        <v>328474</v>
      </c>
      <c r="M105" s="56">
        <v>581644</v>
      </c>
      <c r="N105" s="56">
        <v>435998</v>
      </c>
      <c r="O105" s="56">
        <v>423896</v>
      </c>
      <c r="P105" s="56">
        <v>419959</v>
      </c>
      <c r="Q105" s="56">
        <v>468156</v>
      </c>
      <c r="R105" s="56">
        <v>469278</v>
      </c>
      <c r="S105" s="56">
        <v>439873</v>
      </c>
      <c r="T105" s="58">
        <f>SUM(H105:S105)</f>
        <v>5182414</v>
      </c>
    </row>
    <row r="106" spans="1:20" x14ac:dyDescent="0.45">
      <c r="A106" s="88" t="s">
        <v>24</v>
      </c>
      <c r="B106" s="89"/>
      <c r="C106" s="90"/>
      <c r="D106" s="60">
        <f>ROUNDDOWN(D105/D104,2)</f>
        <v>34.229999999999997</v>
      </c>
      <c r="T106" s="11"/>
    </row>
    <row r="107" spans="1:20" x14ac:dyDescent="0.45">
      <c r="A107" s="21"/>
      <c r="T107" s="11"/>
    </row>
    <row r="108" spans="1:20" x14ac:dyDescent="0.45">
      <c r="A108" s="10" t="s">
        <v>25</v>
      </c>
      <c r="D108" s="11"/>
      <c r="F108" s="2" t="s">
        <v>6</v>
      </c>
      <c r="H108" s="12" t="s">
        <v>7</v>
      </c>
      <c r="I108" s="12" t="s">
        <v>8</v>
      </c>
      <c r="J108" s="12" t="s">
        <v>9</v>
      </c>
      <c r="K108" s="12" t="s">
        <v>10</v>
      </c>
      <c r="L108" s="12" t="s">
        <v>11</v>
      </c>
      <c r="M108" s="12" t="s">
        <v>12</v>
      </c>
      <c r="N108" s="12" t="s">
        <v>13</v>
      </c>
      <c r="O108" s="12" t="s">
        <v>14</v>
      </c>
      <c r="P108" s="12" t="s">
        <v>15</v>
      </c>
      <c r="Q108" s="12" t="s">
        <v>16</v>
      </c>
      <c r="R108" s="12" t="s">
        <v>17</v>
      </c>
      <c r="S108" s="13" t="s">
        <v>18</v>
      </c>
      <c r="T108" s="14" t="s">
        <v>19</v>
      </c>
    </row>
    <row r="109" spans="1:20" ht="18.600000000000001" thickBot="1" x14ac:dyDescent="0.5">
      <c r="A109" s="88" t="s">
        <v>20</v>
      </c>
      <c r="B109" s="89"/>
      <c r="C109" s="90"/>
      <c r="D109" s="15">
        <f>D104</f>
        <v>151396</v>
      </c>
      <c r="F109" s="91" t="s">
        <v>21</v>
      </c>
      <c r="G109" s="92"/>
      <c r="H109" s="63">
        <f>H104</f>
        <v>8602</v>
      </c>
      <c r="I109" s="63">
        <f t="shared" ref="I109:R109" si="16">I104</f>
        <v>9683</v>
      </c>
      <c r="J109" s="63">
        <f t="shared" si="16"/>
        <v>13707</v>
      </c>
      <c r="K109" s="63">
        <f t="shared" si="16"/>
        <v>15119</v>
      </c>
      <c r="L109" s="63">
        <f t="shared" si="16"/>
        <v>8302</v>
      </c>
      <c r="M109" s="63">
        <f t="shared" si="16"/>
        <v>19476</v>
      </c>
      <c r="N109" s="63">
        <f t="shared" si="16"/>
        <v>12321</v>
      </c>
      <c r="O109" s="63">
        <f t="shared" si="16"/>
        <v>11733</v>
      </c>
      <c r="P109" s="63">
        <f t="shared" si="16"/>
        <v>11482</v>
      </c>
      <c r="Q109" s="63">
        <f t="shared" si="16"/>
        <v>14313</v>
      </c>
      <c r="R109" s="63">
        <f t="shared" si="16"/>
        <v>14210</v>
      </c>
      <c r="S109" s="63">
        <f>S104</f>
        <v>12448</v>
      </c>
      <c r="T109" s="57">
        <f>T104</f>
        <v>151396</v>
      </c>
    </row>
    <row r="110" spans="1:20" ht="18.600000000000001" thickBot="1" x14ac:dyDescent="0.5">
      <c r="A110" s="94" t="s">
        <v>26</v>
      </c>
      <c r="B110" s="88" t="s">
        <v>27</v>
      </c>
      <c r="C110" s="90"/>
      <c r="D110" s="44">
        <f>T110</f>
        <v>0</v>
      </c>
      <c r="F110" s="96" t="s">
        <v>26</v>
      </c>
      <c r="G110" s="23" t="s">
        <v>28</v>
      </c>
      <c r="H110" s="24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6"/>
      <c r="T110" s="27">
        <f>SUM(H110:S110)</f>
        <v>0</v>
      </c>
    </row>
    <row r="111" spans="1:20" x14ac:dyDescent="0.45">
      <c r="A111" s="95"/>
      <c r="B111" s="88" t="s">
        <v>29</v>
      </c>
      <c r="C111" s="89"/>
      <c r="D111" s="50">
        <f>D18</f>
        <v>0</v>
      </c>
      <c r="F111" s="97"/>
      <c r="G111" s="23" t="s">
        <v>30</v>
      </c>
      <c r="H111" s="29">
        <f t="shared" ref="H111:S111" si="17">ROUNDDOWN(H110*$D$18,0)</f>
        <v>0</v>
      </c>
      <c r="I111" s="29">
        <f t="shared" si="17"/>
        <v>0</v>
      </c>
      <c r="J111" s="29">
        <f t="shared" si="17"/>
        <v>0</v>
      </c>
      <c r="K111" s="29">
        <f t="shared" si="17"/>
        <v>0</v>
      </c>
      <c r="L111" s="29">
        <f t="shared" si="17"/>
        <v>0</v>
      </c>
      <c r="M111" s="29">
        <f t="shared" si="17"/>
        <v>0</v>
      </c>
      <c r="N111" s="29">
        <f t="shared" si="17"/>
        <v>0</v>
      </c>
      <c r="O111" s="29">
        <f t="shared" si="17"/>
        <v>0</v>
      </c>
      <c r="P111" s="29">
        <f t="shared" si="17"/>
        <v>0</v>
      </c>
      <c r="Q111" s="29">
        <f t="shared" si="17"/>
        <v>0</v>
      </c>
      <c r="R111" s="29">
        <f t="shared" si="17"/>
        <v>0</v>
      </c>
      <c r="S111" s="29">
        <f t="shared" si="17"/>
        <v>0</v>
      </c>
      <c r="T111" s="19">
        <f>SUM(H111:S111)</f>
        <v>0</v>
      </c>
    </row>
    <row r="112" spans="1:20" x14ac:dyDescent="0.45">
      <c r="A112" s="93" t="s">
        <v>31</v>
      </c>
      <c r="B112" s="88" t="s">
        <v>32</v>
      </c>
      <c r="C112" s="90"/>
      <c r="D112" s="30">
        <f>D109-D110</f>
        <v>151396</v>
      </c>
      <c r="F112" s="100" t="s">
        <v>33</v>
      </c>
      <c r="G112" s="31" t="s">
        <v>34</v>
      </c>
      <c r="H112" s="32">
        <f t="shared" ref="H112:S112" si="18">H109-H110</f>
        <v>8602</v>
      </c>
      <c r="I112" s="32">
        <f t="shared" si="18"/>
        <v>9683</v>
      </c>
      <c r="J112" s="32">
        <f t="shared" si="18"/>
        <v>13707</v>
      </c>
      <c r="K112" s="32">
        <f t="shared" si="18"/>
        <v>15119</v>
      </c>
      <c r="L112" s="32">
        <f t="shared" si="18"/>
        <v>8302</v>
      </c>
      <c r="M112" s="32">
        <f t="shared" si="18"/>
        <v>19476</v>
      </c>
      <c r="N112" s="32">
        <f t="shared" si="18"/>
        <v>12321</v>
      </c>
      <c r="O112" s="32">
        <f t="shared" si="18"/>
        <v>11733</v>
      </c>
      <c r="P112" s="32">
        <f t="shared" si="18"/>
        <v>11482</v>
      </c>
      <c r="Q112" s="32">
        <f t="shared" si="18"/>
        <v>14313</v>
      </c>
      <c r="R112" s="32">
        <f t="shared" si="18"/>
        <v>14210</v>
      </c>
      <c r="S112" s="32">
        <f t="shared" si="18"/>
        <v>12448</v>
      </c>
      <c r="T112" s="17">
        <f>SUM(H112:S112)</f>
        <v>151396</v>
      </c>
    </row>
    <row r="113" spans="1:20" x14ac:dyDescent="0.45">
      <c r="A113" s="93"/>
      <c r="B113" s="88" t="s">
        <v>35</v>
      </c>
      <c r="C113" s="90"/>
      <c r="D113" s="20">
        <f>D106</f>
        <v>34.229999999999997</v>
      </c>
      <c r="F113" s="100"/>
      <c r="G113" s="23" t="s">
        <v>36</v>
      </c>
      <c r="H113" s="32">
        <f>H112*$D113</f>
        <v>294446.45999999996</v>
      </c>
      <c r="I113" s="32">
        <f t="shared" ref="I113:S113" si="19">I112*$D113</f>
        <v>331449.08999999997</v>
      </c>
      <c r="J113" s="32">
        <f t="shared" si="19"/>
        <v>469190.61</v>
      </c>
      <c r="K113" s="32">
        <f t="shared" si="19"/>
        <v>517523.36999999994</v>
      </c>
      <c r="L113" s="32">
        <f t="shared" si="19"/>
        <v>284177.45999999996</v>
      </c>
      <c r="M113" s="32">
        <f t="shared" si="19"/>
        <v>666663.48</v>
      </c>
      <c r="N113" s="32">
        <f t="shared" si="19"/>
        <v>421747.82999999996</v>
      </c>
      <c r="O113" s="32">
        <f t="shared" si="19"/>
        <v>401620.58999999997</v>
      </c>
      <c r="P113" s="32">
        <f t="shared" si="19"/>
        <v>393028.86</v>
      </c>
      <c r="Q113" s="32">
        <f t="shared" si="19"/>
        <v>489933.98999999993</v>
      </c>
      <c r="R113" s="32">
        <f t="shared" si="19"/>
        <v>486408.29999999993</v>
      </c>
      <c r="S113" s="32">
        <f t="shared" si="19"/>
        <v>426095.04</v>
      </c>
      <c r="T113" s="19">
        <f>ROUNDDOWN(SUM(H113:S113),0)</f>
        <v>5182285</v>
      </c>
    </row>
    <row r="114" spans="1:20" x14ac:dyDescent="0.45">
      <c r="A114" s="93" t="s">
        <v>37</v>
      </c>
      <c r="B114" s="93"/>
      <c r="C114" s="93"/>
      <c r="D114" s="18">
        <f>T111+T113</f>
        <v>5182285</v>
      </c>
      <c r="G114" s="33"/>
      <c r="H114" s="33"/>
      <c r="I114" s="33"/>
      <c r="J114" s="33"/>
      <c r="K114" s="34"/>
      <c r="L114" s="34"/>
      <c r="M114" s="34"/>
      <c r="N114" s="34"/>
      <c r="O114" s="34"/>
      <c r="P114" s="34"/>
      <c r="Q114" s="34"/>
      <c r="R114" s="34"/>
      <c r="S114" s="34"/>
      <c r="T114" s="34"/>
    </row>
    <row r="115" spans="1:20" x14ac:dyDescent="0.45">
      <c r="G115" s="33"/>
      <c r="H115" s="33"/>
      <c r="I115" s="33"/>
      <c r="J115" s="33"/>
      <c r="K115" s="34"/>
      <c r="L115" s="34"/>
      <c r="M115" s="34"/>
      <c r="N115" s="34"/>
      <c r="O115" s="34"/>
      <c r="P115" s="34"/>
      <c r="Q115" s="34"/>
      <c r="R115" s="34"/>
      <c r="S115" s="34"/>
      <c r="T115" s="34"/>
    </row>
    <row r="116" spans="1:20" x14ac:dyDescent="0.45">
      <c r="A116" s="10" t="s">
        <v>38</v>
      </c>
      <c r="G116" s="33"/>
      <c r="H116" s="33"/>
      <c r="I116" s="33"/>
      <c r="J116" s="33"/>
      <c r="K116" s="34"/>
      <c r="L116" s="34"/>
      <c r="M116" s="34"/>
      <c r="N116" s="34"/>
      <c r="O116" s="34"/>
      <c r="P116" s="34"/>
      <c r="Q116" s="34"/>
      <c r="R116" s="34"/>
      <c r="S116" s="34"/>
      <c r="T116" s="34"/>
    </row>
    <row r="117" spans="1:20" x14ac:dyDescent="0.45">
      <c r="A117" s="101" t="s">
        <v>77</v>
      </c>
      <c r="B117" s="101"/>
      <c r="C117" s="101"/>
      <c r="D117" s="102">
        <f>D105-D114-129</f>
        <v>0</v>
      </c>
      <c r="Q117" s="93" t="s">
        <v>39</v>
      </c>
      <c r="R117" s="93"/>
      <c r="S117" s="93"/>
      <c r="T117" s="35" t="s">
        <v>40</v>
      </c>
    </row>
    <row r="118" spans="1:20" x14ac:dyDescent="0.45">
      <c r="A118" s="101"/>
      <c r="B118" s="101"/>
      <c r="C118" s="101"/>
      <c r="D118" s="102"/>
      <c r="Q118" s="93" t="s">
        <v>41</v>
      </c>
      <c r="R118" s="93"/>
      <c r="S118" s="93"/>
      <c r="T118" s="36">
        <f>D110</f>
        <v>0</v>
      </c>
    </row>
    <row r="119" spans="1:20" x14ac:dyDescent="0.45">
      <c r="A119" s="101"/>
      <c r="B119" s="101"/>
      <c r="C119" s="101"/>
      <c r="D119" s="102"/>
      <c r="Q119" s="93" t="s">
        <v>42</v>
      </c>
      <c r="R119" s="93"/>
      <c r="S119" s="93"/>
      <c r="T119" s="37">
        <f>D110/D109*100</f>
        <v>0</v>
      </c>
    </row>
    <row r="120" spans="1:20" x14ac:dyDescent="0.45">
      <c r="A120" s="101"/>
      <c r="B120" s="101"/>
      <c r="C120" s="101"/>
      <c r="D120" s="103"/>
      <c r="Q120" s="93" t="s">
        <v>43</v>
      </c>
      <c r="R120" s="93"/>
      <c r="S120" s="93"/>
      <c r="T120" s="52">
        <f>T118*0.00036</f>
        <v>0</v>
      </c>
    </row>
    <row r="121" spans="1:20" x14ac:dyDescent="0.45">
      <c r="A121" s="94" t="s">
        <v>44</v>
      </c>
      <c r="B121" s="94"/>
      <c r="C121" s="91"/>
      <c r="D121" s="51">
        <v>20</v>
      </c>
      <c r="Q121" s="2" t="s">
        <v>68</v>
      </c>
    </row>
    <row r="122" spans="1:20" x14ac:dyDescent="0.45">
      <c r="A122" s="99" t="s">
        <v>71</v>
      </c>
      <c r="B122" s="99"/>
      <c r="C122" s="99"/>
      <c r="D122" s="40">
        <f>D105*20-(D114*D121+D105*(20-D121))-129*D121</f>
        <v>0</v>
      </c>
    </row>
    <row r="126" spans="1:20" ht="18.600000000000001" x14ac:dyDescent="0.45">
      <c r="A126" s="8" t="s">
        <v>56</v>
      </c>
      <c r="B126" s="9"/>
      <c r="C126" s="9"/>
      <c r="D126" s="9"/>
    </row>
    <row r="127" spans="1:20" x14ac:dyDescent="0.45">
      <c r="A127" s="10" t="s">
        <v>67</v>
      </c>
      <c r="D127" s="11"/>
      <c r="F127" s="2" t="s">
        <v>6</v>
      </c>
      <c r="H127" s="12" t="s">
        <v>7</v>
      </c>
      <c r="I127" s="12" t="s">
        <v>8</v>
      </c>
      <c r="J127" s="12" t="s">
        <v>9</v>
      </c>
      <c r="K127" s="12" t="s">
        <v>10</v>
      </c>
      <c r="L127" s="12" t="s">
        <v>11</v>
      </c>
      <c r="M127" s="12" t="s">
        <v>12</v>
      </c>
      <c r="N127" s="12" t="s">
        <v>13</v>
      </c>
      <c r="O127" s="12" t="s">
        <v>14</v>
      </c>
      <c r="P127" s="12" t="s">
        <v>15</v>
      </c>
      <c r="Q127" s="12" t="s">
        <v>16</v>
      </c>
      <c r="R127" s="12" t="s">
        <v>17</v>
      </c>
      <c r="S127" s="13" t="s">
        <v>18</v>
      </c>
      <c r="T127" s="14" t="s">
        <v>19</v>
      </c>
    </row>
    <row r="128" spans="1:20" x14ac:dyDescent="0.45">
      <c r="A128" s="88" t="s">
        <v>20</v>
      </c>
      <c r="B128" s="89"/>
      <c r="C128" s="90"/>
      <c r="D128" s="54">
        <f>T128</f>
        <v>189824</v>
      </c>
      <c r="F128" s="91" t="s">
        <v>21</v>
      </c>
      <c r="G128" s="92"/>
      <c r="H128" s="56">
        <v>12627</v>
      </c>
      <c r="I128" s="56">
        <v>15472</v>
      </c>
      <c r="J128" s="56">
        <v>21908</v>
      </c>
      <c r="K128" s="56">
        <v>20578</v>
      </c>
      <c r="L128" s="56">
        <v>9523</v>
      </c>
      <c r="M128" s="56">
        <v>21927</v>
      </c>
      <c r="N128" s="56">
        <v>14702</v>
      </c>
      <c r="O128" s="56">
        <v>14580</v>
      </c>
      <c r="P128" s="56">
        <v>14171</v>
      </c>
      <c r="Q128" s="56">
        <v>15175</v>
      </c>
      <c r="R128" s="56">
        <v>15890</v>
      </c>
      <c r="S128" s="56">
        <v>13271</v>
      </c>
      <c r="T128" s="57">
        <f>SUM(H128:S128)</f>
        <v>189824</v>
      </c>
    </row>
    <row r="129" spans="1:20" x14ac:dyDescent="0.45">
      <c r="A129" s="93" t="s">
        <v>22</v>
      </c>
      <c r="B129" s="93"/>
      <c r="C129" s="93"/>
      <c r="D129" s="59">
        <f>T129</f>
        <v>6102836</v>
      </c>
      <c r="F129" s="93" t="s">
        <v>23</v>
      </c>
      <c r="G129" s="93"/>
      <c r="H129" s="56">
        <v>487487</v>
      </c>
      <c r="I129" s="56">
        <v>530294</v>
      </c>
      <c r="J129" s="56">
        <v>629371</v>
      </c>
      <c r="K129" s="56">
        <v>605557</v>
      </c>
      <c r="L129" s="56">
        <v>401062</v>
      </c>
      <c r="M129" s="56">
        <v>622757</v>
      </c>
      <c r="N129" s="56">
        <v>472724</v>
      </c>
      <c r="O129" s="56">
        <v>467907</v>
      </c>
      <c r="P129" s="56">
        <v>461400</v>
      </c>
      <c r="Q129" s="56">
        <v>479301</v>
      </c>
      <c r="R129" s="56">
        <v>494420</v>
      </c>
      <c r="S129" s="56">
        <v>450556</v>
      </c>
      <c r="T129" s="58">
        <f>SUM(H129:S129)</f>
        <v>6102836</v>
      </c>
    </row>
    <row r="130" spans="1:20" x14ac:dyDescent="0.45">
      <c r="A130" s="88" t="s">
        <v>24</v>
      </c>
      <c r="B130" s="89"/>
      <c r="C130" s="90"/>
      <c r="D130" s="60">
        <f>ROUNDDOWN(D129/D128,2)</f>
        <v>32.14</v>
      </c>
      <c r="T130" s="11"/>
    </row>
    <row r="131" spans="1:20" x14ac:dyDescent="0.45">
      <c r="A131" s="21"/>
      <c r="T131" s="11"/>
    </row>
    <row r="132" spans="1:20" x14ac:dyDescent="0.45">
      <c r="A132" s="10" t="s">
        <v>25</v>
      </c>
      <c r="D132" s="11"/>
      <c r="F132" s="2" t="s">
        <v>6</v>
      </c>
      <c r="H132" s="12" t="s">
        <v>7</v>
      </c>
      <c r="I132" s="12" t="s">
        <v>8</v>
      </c>
      <c r="J132" s="12" t="s">
        <v>9</v>
      </c>
      <c r="K132" s="12" t="s">
        <v>10</v>
      </c>
      <c r="L132" s="12" t="s">
        <v>11</v>
      </c>
      <c r="M132" s="12" t="s">
        <v>12</v>
      </c>
      <c r="N132" s="12" t="s">
        <v>13</v>
      </c>
      <c r="O132" s="12" t="s">
        <v>14</v>
      </c>
      <c r="P132" s="12" t="s">
        <v>15</v>
      </c>
      <c r="Q132" s="12" t="s">
        <v>16</v>
      </c>
      <c r="R132" s="12" t="s">
        <v>17</v>
      </c>
      <c r="S132" s="13" t="s">
        <v>18</v>
      </c>
      <c r="T132" s="14" t="s">
        <v>19</v>
      </c>
    </row>
    <row r="133" spans="1:20" ht="18.600000000000001" thickBot="1" x14ac:dyDescent="0.5">
      <c r="A133" s="88" t="s">
        <v>20</v>
      </c>
      <c r="B133" s="89"/>
      <c r="C133" s="90"/>
      <c r="D133" s="54">
        <f>D128</f>
        <v>189824</v>
      </c>
      <c r="F133" s="91" t="s">
        <v>21</v>
      </c>
      <c r="G133" s="92"/>
      <c r="H133" s="63">
        <f>H128</f>
        <v>12627</v>
      </c>
      <c r="I133" s="63">
        <f t="shared" ref="I133:R133" si="20">I128</f>
        <v>15472</v>
      </c>
      <c r="J133" s="63">
        <f t="shared" si="20"/>
        <v>21908</v>
      </c>
      <c r="K133" s="63">
        <f t="shared" si="20"/>
        <v>20578</v>
      </c>
      <c r="L133" s="63">
        <f t="shared" si="20"/>
        <v>9523</v>
      </c>
      <c r="M133" s="63">
        <f t="shared" si="20"/>
        <v>21927</v>
      </c>
      <c r="N133" s="63">
        <f t="shared" si="20"/>
        <v>14702</v>
      </c>
      <c r="O133" s="63">
        <f t="shared" si="20"/>
        <v>14580</v>
      </c>
      <c r="P133" s="63">
        <f t="shared" si="20"/>
        <v>14171</v>
      </c>
      <c r="Q133" s="63">
        <f t="shared" si="20"/>
        <v>15175</v>
      </c>
      <c r="R133" s="63">
        <f t="shared" si="20"/>
        <v>15890</v>
      </c>
      <c r="S133" s="63">
        <f>S128</f>
        <v>13271</v>
      </c>
      <c r="T133" s="57">
        <f>T128</f>
        <v>189824</v>
      </c>
    </row>
    <row r="134" spans="1:20" ht="18.600000000000001" thickBot="1" x14ac:dyDescent="0.5">
      <c r="A134" s="94" t="s">
        <v>26</v>
      </c>
      <c r="B134" s="88" t="s">
        <v>27</v>
      </c>
      <c r="C134" s="90"/>
      <c r="D134" s="44">
        <f>T134</f>
        <v>0</v>
      </c>
      <c r="F134" s="96" t="s">
        <v>26</v>
      </c>
      <c r="G134" s="23" t="s">
        <v>28</v>
      </c>
      <c r="H134" s="24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6"/>
      <c r="T134" s="27">
        <f>SUM(H134:S134)</f>
        <v>0</v>
      </c>
    </row>
    <row r="135" spans="1:20" x14ac:dyDescent="0.45">
      <c r="A135" s="95"/>
      <c r="B135" s="88" t="s">
        <v>29</v>
      </c>
      <c r="C135" s="89"/>
      <c r="D135" s="50">
        <f>D18</f>
        <v>0</v>
      </c>
      <c r="F135" s="97"/>
      <c r="G135" s="23" t="s">
        <v>30</v>
      </c>
      <c r="H135" s="29">
        <f t="shared" ref="H135:S135" si="21">ROUNDDOWN(H134*$D$18,0)</f>
        <v>0</v>
      </c>
      <c r="I135" s="29">
        <f t="shared" si="21"/>
        <v>0</v>
      </c>
      <c r="J135" s="29">
        <f t="shared" si="21"/>
        <v>0</v>
      </c>
      <c r="K135" s="29">
        <f t="shared" si="21"/>
        <v>0</v>
      </c>
      <c r="L135" s="29">
        <f t="shared" si="21"/>
        <v>0</v>
      </c>
      <c r="M135" s="29">
        <f t="shared" si="21"/>
        <v>0</v>
      </c>
      <c r="N135" s="29">
        <f t="shared" si="21"/>
        <v>0</v>
      </c>
      <c r="O135" s="29">
        <f t="shared" si="21"/>
        <v>0</v>
      </c>
      <c r="P135" s="29">
        <f t="shared" si="21"/>
        <v>0</v>
      </c>
      <c r="Q135" s="29">
        <f t="shared" si="21"/>
        <v>0</v>
      </c>
      <c r="R135" s="29">
        <f t="shared" si="21"/>
        <v>0</v>
      </c>
      <c r="S135" s="29">
        <f t="shared" si="21"/>
        <v>0</v>
      </c>
      <c r="T135" s="19">
        <f>SUM(H135:S135)</f>
        <v>0</v>
      </c>
    </row>
    <row r="136" spans="1:20" x14ac:dyDescent="0.45">
      <c r="A136" s="93" t="s">
        <v>31</v>
      </c>
      <c r="B136" s="88" t="s">
        <v>32</v>
      </c>
      <c r="C136" s="90"/>
      <c r="D136" s="30">
        <f>D133-D134</f>
        <v>189824</v>
      </c>
      <c r="F136" s="100" t="s">
        <v>33</v>
      </c>
      <c r="G136" s="31" t="s">
        <v>34</v>
      </c>
      <c r="H136" s="32">
        <f t="shared" ref="H136:S136" si="22">H133-H134</f>
        <v>12627</v>
      </c>
      <c r="I136" s="32">
        <f t="shared" si="22"/>
        <v>15472</v>
      </c>
      <c r="J136" s="32">
        <f t="shared" si="22"/>
        <v>21908</v>
      </c>
      <c r="K136" s="32">
        <f t="shared" si="22"/>
        <v>20578</v>
      </c>
      <c r="L136" s="32">
        <f t="shared" si="22"/>
        <v>9523</v>
      </c>
      <c r="M136" s="32">
        <f t="shared" si="22"/>
        <v>21927</v>
      </c>
      <c r="N136" s="32">
        <f t="shared" si="22"/>
        <v>14702</v>
      </c>
      <c r="O136" s="32">
        <f t="shared" si="22"/>
        <v>14580</v>
      </c>
      <c r="P136" s="32">
        <f t="shared" si="22"/>
        <v>14171</v>
      </c>
      <c r="Q136" s="32">
        <f t="shared" si="22"/>
        <v>15175</v>
      </c>
      <c r="R136" s="32">
        <f t="shared" si="22"/>
        <v>15890</v>
      </c>
      <c r="S136" s="32">
        <f t="shared" si="22"/>
        <v>13271</v>
      </c>
      <c r="T136" s="17">
        <f>SUM(H136:S136)</f>
        <v>189824</v>
      </c>
    </row>
    <row r="137" spans="1:20" x14ac:dyDescent="0.45">
      <c r="A137" s="93"/>
      <c r="B137" s="88" t="s">
        <v>35</v>
      </c>
      <c r="C137" s="90"/>
      <c r="D137" s="20">
        <f>D130</f>
        <v>32.14</v>
      </c>
      <c r="F137" s="100"/>
      <c r="G137" s="23" t="s">
        <v>36</v>
      </c>
      <c r="H137" s="32">
        <f>H136*$D137</f>
        <v>405831.78</v>
      </c>
      <c r="I137" s="32">
        <f t="shared" ref="I137:S137" si="23">I136*$D137</f>
        <v>497270.08</v>
      </c>
      <c r="J137" s="32">
        <f t="shared" si="23"/>
        <v>704123.12</v>
      </c>
      <c r="K137" s="32">
        <f t="shared" si="23"/>
        <v>661376.92000000004</v>
      </c>
      <c r="L137" s="32">
        <f t="shared" si="23"/>
        <v>306069.22000000003</v>
      </c>
      <c r="M137" s="32">
        <f t="shared" si="23"/>
        <v>704733.78</v>
      </c>
      <c r="N137" s="32">
        <f t="shared" si="23"/>
        <v>472522.28</v>
      </c>
      <c r="O137" s="32">
        <f t="shared" si="23"/>
        <v>468601.2</v>
      </c>
      <c r="P137" s="32">
        <f t="shared" si="23"/>
        <v>455455.94</v>
      </c>
      <c r="Q137" s="32">
        <f t="shared" si="23"/>
        <v>487724.5</v>
      </c>
      <c r="R137" s="32">
        <f t="shared" si="23"/>
        <v>510704.60000000003</v>
      </c>
      <c r="S137" s="32">
        <f t="shared" si="23"/>
        <v>426529.94</v>
      </c>
      <c r="T137" s="19">
        <f>ROUNDDOWN(SUM(H137:S137),0)</f>
        <v>6100943</v>
      </c>
    </row>
    <row r="138" spans="1:20" x14ac:dyDescent="0.45">
      <c r="A138" s="93" t="s">
        <v>37</v>
      </c>
      <c r="B138" s="93"/>
      <c r="C138" s="93"/>
      <c r="D138" s="18">
        <f>T135+T137</f>
        <v>6100943</v>
      </c>
      <c r="G138" s="33"/>
      <c r="H138" s="33"/>
      <c r="I138" s="33"/>
      <c r="J138" s="33"/>
      <c r="K138" s="34"/>
      <c r="L138" s="34"/>
      <c r="M138" s="34"/>
      <c r="N138" s="34"/>
      <c r="O138" s="34"/>
      <c r="P138" s="34"/>
      <c r="Q138" s="34"/>
      <c r="R138" s="34"/>
      <c r="S138" s="34"/>
      <c r="T138" s="34"/>
    </row>
    <row r="139" spans="1:20" x14ac:dyDescent="0.45">
      <c r="G139" s="33"/>
      <c r="H139" s="33"/>
      <c r="I139" s="33"/>
      <c r="J139" s="33"/>
      <c r="K139" s="34"/>
      <c r="L139" s="34"/>
      <c r="M139" s="34"/>
      <c r="N139" s="34"/>
      <c r="O139" s="34"/>
      <c r="P139" s="34"/>
      <c r="Q139" s="34"/>
      <c r="R139" s="34"/>
      <c r="S139" s="34"/>
      <c r="T139" s="34"/>
    </row>
    <row r="140" spans="1:20" x14ac:dyDescent="0.45">
      <c r="A140" s="10" t="s">
        <v>38</v>
      </c>
      <c r="G140" s="33"/>
      <c r="H140" s="33"/>
      <c r="I140" s="33"/>
      <c r="J140" s="33"/>
      <c r="K140" s="34"/>
      <c r="L140" s="34"/>
      <c r="M140" s="34"/>
      <c r="N140" s="34"/>
      <c r="O140" s="34"/>
      <c r="P140" s="34"/>
      <c r="Q140" s="34"/>
      <c r="R140" s="34"/>
      <c r="S140" s="34"/>
      <c r="T140" s="34"/>
    </row>
    <row r="141" spans="1:20" x14ac:dyDescent="0.45">
      <c r="A141" s="101" t="s">
        <v>78</v>
      </c>
      <c r="B141" s="101"/>
      <c r="C141" s="101"/>
      <c r="D141" s="102">
        <f>D129-D138-1893</f>
        <v>0</v>
      </c>
      <c r="Q141" s="93" t="s">
        <v>39</v>
      </c>
      <c r="R141" s="93"/>
      <c r="S141" s="93"/>
      <c r="T141" s="35" t="s">
        <v>40</v>
      </c>
    </row>
    <row r="142" spans="1:20" x14ac:dyDescent="0.45">
      <c r="A142" s="101"/>
      <c r="B142" s="101"/>
      <c r="C142" s="101"/>
      <c r="D142" s="102"/>
      <c r="Q142" s="93" t="s">
        <v>41</v>
      </c>
      <c r="R142" s="93"/>
      <c r="S142" s="93"/>
      <c r="T142" s="36">
        <f>D134</f>
        <v>0</v>
      </c>
    </row>
    <row r="143" spans="1:20" x14ac:dyDescent="0.45">
      <c r="A143" s="101"/>
      <c r="B143" s="101"/>
      <c r="C143" s="101"/>
      <c r="D143" s="102"/>
      <c r="Q143" s="93" t="s">
        <v>42</v>
      </c>
      <c r="R143" s="93"/>
      <c r="S143" s="93"/>
      <c r="T143" s="37">
        <f>D134/D133*100</f>
        <v>0</v>
      </c>
    </row>
    <row r="144" spans="1:20" x14ac:dyDescent="0.45">
      <c r="A144" s="101"/>
      <c r="B144" s="101"/>
      <c r="C144" s="101"/>
      <c r="D144" s="103"/>
      <c r="Q144" s="93" t="s">
        <v>43</v>
      </c>
      <c r="R144" s="93"/>
      <c r="S144" s="93"/>
      <c r="T144" s="52">
        <f>T142*0.00036</f>
        <v>0</v>
      </c>
    </row>
    <row r="145" spans="1:20" x14ac:dyDescent="0.45">
      <c r="A145" s="94" t="s">
        <v>44</v>
      </c>
      <c r="B145" s="94"/>
      <c r="C145" s="91"/>
      <c r="D145" s="51">
        <v>20</v>
      </c>
      <c r="Q145" s="2" t="s">
        <v>68</v>
      </c>
    </row>
    <row r="146" spans="1:20" x14ac:dyDescent="0.45">
      <c r="A146" s="99" t="s">
        <v>71</v>
      </c>
      <c r="B146" s="99"/>
      <c r="C146" s="99"/>
      <c r="D146" s="40">
        <f>D129*20-(D138*D145+D129*(20-D145))-1893*D145</f>
        <v>0</v>
      </c>
    </row>
    <row r="149" spans="1:20" ht="18.600000000000001" x14ac:dyDescent="0.45">
      <c r="A149" s="8" t="s">
        <v>58</v>
      </c>
      <c r="B149" s="9"/>
      <c r="C149" s="9"/>
      <c r="D149" s="9"/>
    </row>
    <row r="150" spans="1:20" x14ac:dyDescent="0.45">
      <c r="A150" s="10" t="s">
        <v>67</v>
      </c>
      <c r="D150" s="11"/>
      <c r="F150" s="2" t="s">
        <v>6</v>
      </c>
      <c r="H150" s="12" t="s">
        <v>7</v>
      </c>
      <c r="I150" s="12" t="s">
        <v>8</v>
      </c>
      <c r="J150" s="12" t="s">
        <v>9</v>
      </c>
      <c r="K150" s="12" t="s">
        <v>10</v>
      </c>
      <c r="L150" s="12" t="s">
        <v>11</v>
      </c>
      <c r="M150" s="12" t="s">
        <v>12</v>
      </c>
      <c r="N150" s="12" t="s">
        <v>13</v>
      </c>
      <c r="O150" s="12" t="s">
        <v>14</v>
      </c>
      <c r="P150" s="12" t="s">
        <v>15</v>
      </c>
      <c r="Q150" s="12" t="s">
        <v>16</v>
      </c>
      <c r="R150" s="12" t="s">
        <v>17</v>
      </c>
      <c r="S150" s="13" t="s">
        <v>18</v>
      </c>
      <c r="T150" s="14" t="s">
        <v>19</v>
      </c>
    </row>
    <row r="151" spans="1:20" x14ac:dyDescent="0.45">
      <c r="A151" s="88" t="s">
        <v>20</v>
      </c>
      <c r="B151" s="89"/>
      <c r="C151" s="90"/>
      <c r="D151" s="15">
        <f>T151</f>
        <v>576081</v>
      </c>
      <c r="F151" s="91" t="s">
        <v>21</v>
      </c>
      <c r="G151" s="92"/>
      <c r="H151" s="16">
        <v>32521</v>
      </c>
      <c r="I151" s="16">
        <v>36931</v>
      </c>
      <c r="J151" s="16">
        <v>50297</v>
      </c>
      <c r="K151" s="16">
        <v>76436</v>
      </c>
      <c r="L151" s="16">
        <v>44139</v>
      </c>
      <c r="M151" s="16">
        <v>82528</v>
      </c>
      <c r="N151" s="16">
        <v>37024</v>
      </c>
      <c r="O151" s="16">
        <v>34088</v>
      </c>
      <c r="P151" s="16">
        <v>39968</v>
      </c>
      <c r="Q151" s="16">
        <v>51842</v>
      </c>
      <c r="R151" s="16">
        <v>46677</v>
      </c>
      <c r="S151" s="16">
        <v>43630</v>
      </c>
      <c r="T151" s="17">
        <f>SUM(H151:S151)</f>
        <v>576081</v>
      </c>
    </row>
    <row r="152" spans="1:20" x14ac:dyDescent="0.45">
      <c r="A152" s="93" t="s">
        <v>22</v>
      </c>
      <c r="B152" s="93"/>
      <c r="C152" s="93"/>
      <c r="D152" s="18">
        <f>T152</f>
        <v>22396453</v>
      </c>
      <c r="F152" s="93" t="s">
        <v>23</v>
      </c>
      <c r="G152" s="93"/>
      <c r="H152" s="16">
        <v>1737936</v>
      </c>
      <c r="I152" s="16">
        <v>1734763</v>
      </c>
      <c r="J152" s="16">
        <v>1954455</v>
      </c>
      <c r="K152" s="16">
        <v>2450918</v>
      </c>
      <c r="L152" s="16">
        <v>1795418</v>
      </c>
      <c r="M152" s="16">
        <v>2403815</v>
      </c>
      <c r="N152" s="16">
        <v>1642911</v>
      </c>
      <c r="O152" s="16">
        <v>1584731</v>
      </c>
      <c r="P152" s="16">
        <v>1675862</v>
      </c>
      <c r="Q152" s="16">
        <v>1874006</v>
      </c>
      <c r="R152" s="16">
        <v>1791898</v>
      </c>
      <c r="S152" s="16">
        <v>1749740</v>
      </c>
      <c r="T152" s="19">
        <f>SUM(H152:S152)</f>
        <v>22396453</v>
      </c>
    </row>
    <row r="153" spans="1:20" x14ac:dyDescent="0.45">
      <c r="A153" s="88" t="s">
        <v>24</v>
      </c>
      <c r="B153" s="89"/>
      <c r="C153" s="90"/>
      <c r="D153" s="20">
        <f>ROUNDDOWN(D152/D151,2)</f>
        <v>38.869999999999997</v>
      </c>
      <c r="T153" s="11"/>
    </row>
    <row r="154" spans="1:20" x14ac:dyDescent="0.45">
      <c r="A154" s="21"/>
      <c r="T154" s="11"/>
    </row>
    <row r="155" spans="1:20" x14ac:dyDescent="0.45">
      <c r="A155" s="10" t="s">
        <v>25</v>
      </c>
      <c r="D155" s="11"/>
      <c r="F155" s="2" t="s">
        <v>6</v>
      </c>
      <c r="H155" s="12" t="s">
        <v>7</v>
      </c>
      <c r="I155" s="12" t="s">
        <v>8</v>
      </c>
      <c r="J155" s="12" t="s">
        <v>9</v>
      </c>
      <c r="K155" s="12" t="s">
        <v>10</v>
      </c>
      <c r="L155" s="12" t="s">
        <v>11</v>
      </c>
      <c r="M155" s="12" t="s">
        <v>12</v>
      </c>
      <c r="N155" s="12" t="s">
        <v>13</v>
      </c>
      <c r="O155" s="12" t="s">
        <v>14</v>
      </c>
      <c r="P155" s="12" t="s">
        <v>15</v>
      </c>
      <c r="Q155" s="12" t="s">
        <v>16</v>
      </c>
      <c r="R155" s="12" t="s">
        <v>17</v>
      </c>
      <c r="S155" s="13" t="s">
        <v>18</v>
      </c>
      <c r="T155" s="14" t="s">
        <v>19</v>
      </c>
    </row>
    <row r="156" spans="1:20" ht="18.600000000000001" thickBot="1" x14ac:dyDescent="0.5">
      <c r="A156" s="88" t="s">
        <v>20</v>
      </c>
      <c r="B156" s="89"/>
      <c r="C156" s="90"/>
      <c r="D156" s="15">
        <f>D151</f>
        <v>576081</v>
      </c>
      <c r="F156" s="91" t="s">
        <v>21</v>
      </c>
      <c r="G156" s="92"/>
      <c r="H156" s="22">
        <f>H151</f>
        <v>32521</v>
      </c>
      <c r="I156" s="22">
        <f t="shared" ref="I156:R156" si="24">I151</f>
        <v>36931</v>
      </c>
      <c r="J156" s="22">
        <f t="shared" si="24"/>
        <v>50297</v>
      </c>
      <c r="K156" s="22">
        <f t="shared" si="24"/>
        <v>76436</v>
      </c>
      <c r="L156" s="22">
        <f t="shared" si="24"/>
        <v>44139</v>
      </c>
      <c r="M156" s="22">
        <f t="shared" si="24"/>
        <v>82528</v>
      </c>
      <c r="N156" s="22">
        <f t="shared" si="24"/>
        <v>37024</v>
      </c>
      <c r="O156" s="22">
        <f t="shared" si="24"/>
        <v>34088</v>
      </c>
      <c r="P156" s="22">
        <f t="shared" si="24"/>
        <v>39968</v>
      </c>
      <c r="Q156" s="22">
        <f t="shared" si="24"/>
        <v>51842</v>
      </c>
      <c r="R156" s="22">
        <f t="shared" si="24"/>
        <v>46677</v>
      </c>
      <c r="S156" s="22">
        <f>S151</f>
        <v>43630</v>
      </c>
      <c r="T156" s="17">
        <f>T151</f>
        <v>576081</v>
      </c>
    </row>
    <row r="157" spans="1:20" ht="18.600000000000001" thickBot="1" x14ac:dyDescent="0.5">
      <c r="A157" s="94" t="s">
        <v>26</v>
      </c>
      <c r="B157" s="88" t="s">
        <v>27</v>
      </c>
      <c r="C157" s="90"/>
      <c r="D157" s="44">
        <f>T157</f>
        <v>0</v>
      </c>
      <c r="F157" s="96" t="s">
        <v>26</v>
      </c>
      <c r="G157" s="23" t="s">
        <v>28</v>
      </c>
      <c r="H157" s="24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6"/>
      <c r="T157" s="27">
        <f>SUM(H157:S157)</f>
        <v>0</v>
      </c>
    </row>
    <row r="158" spans="1:20" x14ac:dyDescent="0.45">
      <c r="A158" s="95"/>
      <c r="B158" s="88" t="s">
        <v>29</v>
      </c>
      <c r="C158" s="89"/>
      <c r="D158" s="50">
        <f>D18</f>
        <v>0</v>
      </c>
      <c r="F158" s="97"/>
      <c r="G158" s="23" t="s">
        <v>30</v>
      </c>
      <c r="H158" s="29">
        <f t="shared" ref="H158:S158" si="25">ROUNDDOWN(H157*$D$18,0)</f>
        <v>0</v>
      </c>
      <c r="I158" s="29">
        <f t="shared" si="25"/>
        <v>0</v>
      </c>
      <c r="J158" s="29">
        <f t="shared" si="25"/>
        <v>0</v>
      </c>
      <c r="K158" s="29">
        <f t="shared" si="25"/>
        <v>0</v>
      </c>
      <c r="L158" s="29">
        <f t="shared" si="25"/>
        <v>0</v>
      </c>
      <c r="M158" s="29">
        <f t="shared" si="25"/>
        <v>0</v>
      </c>
      <c r="N158" s="29">
        <f t="shared" si="25"/>
        <v>0</v>
      </c>
      <c r="O158" s="29">
        <f t="shared" si="25"/>
        <v>0</v>
      </c>
      <c r="P158" s="29">
        <f t="shared" si="25"/>
        <v>0</v>
      </c>
      <c r="Q158" s="29">
        <f t="shared" si="25"/>
        <v>0</v>
      </c>
      <c r="R158" s="29">
        <f t="shared" si="25"/>
        <v>0</v>
      </c>
      <c r="S158" s="29">
        <f t="shared" si="25"/>
        <v>0</v>
      </c>
      <c r="T158" s="19">
        <f>SUM(H158:S158)</f>
        <v>0</v>
      </c>
    </row>
    <row r="159" spans="1:20" x14ac:dyDescent="0.45">
      <c r="A159" s="93" t="s">
        <v>31</v>
      </c>
      <c r="B159" s="88" t="s">
        <v>32</v>
      </c>
      <c r="C159" s="90"/>
      <c r="D159" s="30">
        <f>D156-D157</f>
        <v>576081</v>
      </c>
      <c r="F159" s="100" t="s">
        <v>33</v>
      </c>
      <c r="G159" s="31" t="s">
        <v>34</v>
      </c>
      <c r="H159" s="32">
        <f t="shared" ref="H159:S159" si="26">H156-H157</f>
        <v>32521</v>
      </c>
      <c r="I159" s="32">
        <f t="shared" si="26"/>
        <v>36931</v>
      </c>
      <c r="J159" s="32">
        <f t="shared" si="26"/>
        <v>50297</v>
      </c>
      <c r="K159" s="32">
        <f t="shared" si="26"/>
        <v>76436</v>
      </c>
      <c r="L159" s="32">
        <f t="shared" si="26"/>
        <v>44139</v>
      </c>
      <c r="M159" s="32">
        <f t="shared" si="26"/>
        <v>82528</v>
      </c>
      <c r="N159" s="32">
        <f t="shared" si="26"/>
        <v>37024</v>
      </c>
      <c r="O159" s="32">
        <f t="shared" si="26"/>
        <v>34088</v>
      </c>
      <c r="P159" s="32">
        <f t="shared" si="26"/>
        <v>39968</v>
      </c>
      <c r="Q159" s="32">
        <f t="shared" si="26"/>
        <v>51842</v>
      </c>
      <c r="R159" s="32">
        <f t="shared" si="26"/>
        <v>46677</v>
      </c>
      <c r="S159" s="32">
        <f t="shared" si="26"/>
        <v>43630</v>
      </c>
      <c r="T159" s="17">
        <f>SUM(H159:S159)</f>
        <v>576081</v>
      </c>
    </row>
    <row r="160" spans="1:20" x14ac:dyDescent="0.45">
      <c r="A160" s="93"/>
      <c r="B160" s="88" t="s">
        <v>35</v>
      </c>
      <c r="C160" s="90"/>
      <c r="D160" s="20">
        <f>D153</f>
        <v>38.869999999999997</v>
      </c>
      <c r="F160" s="100"/>
      <c r="G160" s="23" t="s">
        <v>36</v>
      </c>
      <c r="H160" s="32">
        <f>H159*$D160</f>
        <v>1264091.27</v>
      </c>
      <c r="I160" s="32">
        <f t="shared" ref="I160:S160" si="27">I159*$D160</f>
        <v>1435507.97</v>
      </c>
      <c r="J160" s="32">
        <f t="shared" si="27"/>
        <v>1955044.39</v>
      </c>
      <c r="K160" s="32">
        <f t="shared" si="27"/>
        <v>2971067.32</v>
      </c>
      <c r="L160" s="32">
        <f t="shared" si="27"/>
        <v>1715682.93</v>
      </c>
      <c r="M160" s="32">
        <f t="shared" si="27"/>
        <v>3207863.36</v>
      </c>
      <c r="N160" s="32">
        <f t="shared" si="27"/>
        <v>1439122.88</v>
      </c>
      <c r="O160" s="32">
        <f t="shared" si="27"/>
        <v>1325000.5599999998</v>
      </c>
      <c r="P160" s="32">
        <f t="shared" si="27"/>
        <v>1553556.16</v>
      </c>
      <c r="Q160" s="32">
        <f t="shared" si="27"/>
        <v>2015098.5399999998</v>
      </c>
      <c r="R160" s="32">
        <f t="shared" si="27"/>
        <v>1814334.99</v>
      </c>
      <c r="S160" s="32">
        <f t="shared" si="27"/>
        <v>1695898.0999999999</v>
      </c>
      <c r="T160" s="19">
        <f>ROUNDDOWN(SUM(H160:S160),0)</f>
        <v>22392268</v>
      </c>
    </row>
    <row r="161" spans="1:20" x14ac:dyDescent="0.45">
      <c r="A161" s="93" t="s">
        <v>37</v>
      </c>
      <c r="B161" s="93"/>
      <c r="C161" s="93"/>
      <c r="D161" s="18">
        <f>T158+T160</f>
        <v>22392268</v>
      </c>
      <c r="G161" s="33"/>
      <c r="H161" s="33"/>
      <c r="I161" s="33"/>
      <c r="J161" s="33"/>
      <c r="K161" s="34"/>
      <c r="L161" s="34"/>
      <c r="M161" s="34"/>
      <c r="N161" s="34"/>
      <c r="O161" s="34"/>
      <c r="P161" s="34"/>
      <c r="Q161" s="34"/>
      <c r="R161" s="34"/>
      <c r="S161" s="34"/>
      <c r="T161" s="34"/>
    </row>
    <row r="162" spans="1:20" x14ac:dyDescent="0.45">
      <c r="G162" s="33"/>
      <c r="H162" s="33"/>
      <c r="I162" s="33"/>
      <c r="J162" s="33"/>
      <c r="K162" s="34"/>
      <c r="L162" s="34"/>
      <c r="M162" s="34"/>
      <c r="N162" s="34"/>
      <c r="O162" s="34"/>
      <c r="P162" s="34"/>
      <c r="Q162" s="34"/>
      <c r="R162" s="34"/>
      <c r="S162" s="34"/>
      <c r="T162" s="34"/>
    </row>
    <row r="163" spans="1:20" x14ac:dyDescent="0.45">
      <c r="A163" s="10" t="s">
        <v>38</v>
      </c>
      <c r="G163" s="33"/>
      <c r="H163" s="33"/>
      <c r="I163" s="33"/>
      <c r="J163" s="33"/>
      <c r="K163" s="34"/>
      <c r="L163" s="34"/>
      <c r="M163" s="34"/>
      <c r="N163" s="34"/>
      <c r="O163" s="34"/>
      <c r="P163" s="34"/>
      <c r="Q163" s="34"/>
      <c r="R163" s="34"/>
      <c r="S163" s="34"/>
      <c r="T163" s="34"/>
    </row>
    <row r="164" spans="1:20" x14ac:dyDescent="0.45">
      <c r="A164" s="101" t="s">
        <v>79</v>
      </c>
      <c r="B164" s="101"/>
      <c r="C164" s="101"/>
      <c r="D164" s="102">
        <f>D152-D161-4185</f>
        <v>0</v>
      </c>
      <c r="Q164" s="93" t="s">
        <v>39</v>
      </c>
      <c r="R164" s="93"/>
      <c r="S164" s="93"/>
      <c r="T164" s="35" t="s">
        <v>40</v>
      </c>
    </row>
    <row r="165" spans="1:20" x14ac:dyDescent="0.45">
      <c r="A165" s="101"/>
      <c r="B165" s="101"/>
      <c r="C165" s="101"/>
      <c r="D165" s="102"/>
      <c r="Q165" s="93" t="s">
        <v>41</v>
      </c>
      <c r="R165" s="93"/>
      <c r="S165" s="93"/>
      <c r="T165" s="36">
        <f>D157</f>
        <v>0</v>
      </c>
    </row>
    <row r="166" spans="1:20" x14ac:dyDescent="0.45">
      <c r="A166" s="101"/>
      <c r="B166" s="101"/>
      <c r="C166" s="101"/>
      <c r="D166" s="102"/>
      <c r="Q166" s="93" t="s">
        <v>42</v>
      </c>
      <c r="R166" s="93"/>
      <c r="S166" s="93"/>
      <c r="T166" s="37">
        <f>D157/D156*100</f>
        <v>0</v>
      </c>
    </row>
    <row r="167" spans="1:20" x14ac:dyDescent="0.45">
      <c r="A167" s="101"/>
      <c r="B167" s="101"/>
      <c r="C167" s="101"/>
      <c r="D167" s="103"/>
      <c r="Q167" s="93" t="s">
        <v>43</v>
      </c>
      <c r="R167" s="93"/>
      <c r="S167" s="93"/>
      <c r="T167" s="52">
        <f>T165*0.00036</f>
        <v>0</v>
      </c>
    </row>
    <row r="168" spans="1:20" x14ac:dyDescent="0.45">
      <c r="A168" s="94" t="s">
        <v>44</v>
      </c>
      <c r="B168" s="94"/>
      <c r="C168" s="91"/>
      <c r="D168" s="51">
        <v>20</v>
      </c>
      <c r="Q168" s="2" t="s">
        <v>68</v>
      </c>
    </row>
    <row r="169" spans="1:20" x14ac:dyDescent="0.45">
      <c r="A169" s="99" t="s">
        <v>71</v>
      </c>
      <c r="B169" s="99"/>
      <c r="C169" s="99"/>
      <c r="D169" s="40">
        <f>D152*20-(D161*D168+D152*(20-D168))-4185*D168</f>
        <v>0</v>
      </c>
    </row>
    <row r="173" spans="1:20" ht="18.600000000000001" x14ac:dyDescent="0.45">
      <c r="A173" s="8" t="s">
        <v>60</v>
      </c>
      <c r="B173" s="9"/>
      <c r="C173" s="9"/>
      <c r="D173" s="9"/>
    </row>
    <row r="174" spans="1:20" x14ac:dyDescent="0.45">
      <c r="A174" s="10" t="s">
        <v>67</v>
      </c>
      <c r="D174" s="11"/>
      <c r="F174" s="2" t="s">
        <v>6</v>
      </c>
      <c r="H174" s="12" t="s">
        <v>7</v>
      </c>
      <c r="I174" s="12" t="s">
        <v>8</v>
      </c>
      <c r="J174" s="12" t="s">
        <v>9</v>
      </c>
      <c r="K174" s="12" t="s">
        <v>10</v>
      </c>
      <c r="L174" s="12" t="s">
        <v>11</v>
      </c>
      <c r="M174" s="12" t="s">
        <v>12</v>
      </c>
      <c r="N174" s="12" t="s">
        <v>13</v>
      </c>
      <c r="O174" s="12" t="s">
        <v>14</v>
      </c>
      <c r="P174" s="12" t="s">
        <v>15</v>
      </c>
      <c r="Q174" s="12" t="s">
        <v>16</v>
      </c>
      <c r="R174" s="12" t="s">
        <v>17</v>
      </c>
      <c r="S174" s="13" t="s">
        <v>18</v>
      </c>
      <c r="T174" s="14" t="s">
        <v>19</v>
      </c>
    </row>
    <row r="175" spans="1:20" x14ac:dyDescent="0.45">
      <c r="A175" s="88" t="s">
        <v>20</v>
      </c>
      <c r="B175" s="89"/>
      <c r="C175" s="90"/>
      <c r="D175" s="54">
        <f>T175</f>
        <v>202991</v>
      </c>
      <c r="F175" s="91" t="s">
        <v>21</v>
      </c>
      <c r="G175" s="92"/>
      <c r="H175" s="56">
        <v>12776</v>
      </c>
      <c r="I175" s="56">
        <v>16551</v>
      </c>
      <c r="J175" s="56">
        <v>18270</v>
      </c>
      <c r="K175" s="56">
        <v>19414</v>
      </c>
      <c r="L175" s="56">
        <v>10025</v>
      </c>
      <c r="M175" s="56">
        <v>19419</v>
      </c>
      <c r="N175" s="56">
        <v>16940</v>
      </c>
      <c r="O175" s="56">
        <v>15991</v>
      </c>
      <c r="P175" s="56">
        <v>15934</v>
      </c>
      <c r="Q175" s="56">
        <v>20313</v>
      </c>
      <c r="R175" s="56">
        <v>19839</v>
      </c>
      <c r="S175" s="56">
        <v>17519</v>
      </c>
      <c r="T175" s="57">
        <f>SUM(H175:S175)</f>
        <v>202991</v>
      </c>
    </row>
    <row r="176" spans="1:20" x14ac:dyDescent="0.45">
      <c r="A176" s="93" t="s">
        <v>22</v>
      </c>
      <c r="B176" s="93"/>
      <c r="C176" s="93"/>
      <c r="D176" s="59">
        <f>T176</f>
        <v>6206439</v>
      </c>
      <c r="F176" s="93" t="s">
        <v>23</v>
      </c>
      <c r="G176" s="93"/>
      <c r="H176" s="56">
        <v>472527</v>
      </c>
      <c r="I176" s="56">
        <v>532628</v>
      </c>
      <c r="J176" s="56">
        <v>546921</v>
      </c>
      <c r="K176" s="56">
        <v>567032</v>
      </c>
      <c r="L176" s="56">
        <v>391650</v>
      </c>
      <c r="M176" s="56">
        <v>574112</v>
      </c>
      <c r="N176" s="56">
        <v>507051</v>
      </c>
      <c r="O176" s="56">
        <v>488079</v>
      </c>
      <c r="P176" s="56">
        <v>487451</v>
      </c>
      <c r="Q176" s="56">
        <v>561856</v>
      </c>
      <c r="R176" s="56">
        <v>557907</v>
      </c>
      <c r="S176" s="56">
        <v>519225</v>
      </c>
      <c r="T176" s="58">
        <f>SUM(H176:S176)</f>
        <v>6206439</v>
      </c>
    </row>
    <row r="177" spans="1:20" x14ac:dyDescent="0.45">
      <c r="A177" s="88" t="s">
        <v>24</v>
      </c>
      <c r="B177" s="89"/>
      <c r="C177" s="90"/>
      <c r="D177" s="60">
        <f>ROUNDDOWN(D176/D175,2)</f>
        <v>30.57</v>
      </c>
      <c r="T177" s="11"/>
    </row>
    <row r="178" spans="1:20" x14ac:dyDescent="0.45">
      <c r="A178" s="21"/>
      <c r="T178" s="11"/>
    </row>
    <row r="179" spans="1:20" x14ac:dyDescent="0.45">
      <c r="A179" s="10" t="s">
        <v>25</v>
      </c>
      <c r="D179" s="11"/>
      <c r="F179" s="2" t="s">
        <v>6</v>
      </c>
      <c r="H179" s="12" t="s">
        <v>7</v>
      </c>
      <c r="I179" s="12" t="s">
        <v>8</v>
      </c>
      <c r="J179" s="12" t="s">
        <v>9</v>
      </c>
      <c r="K179" s="12" t="s">
        <v>10</v>
      </c>
      <c r="L179" s="12" t="s">
        <v>11</v>
      </c>
      <c r="M179" s="12" t="s">
        <v>12</v>
      </c>
      <c r="N179" s="12" t="s">
        <v>13</v>
      </c>
      <c r="O179" s="12" t="s">
        <v>14</v>
      </c>
      <c r="P179" s="12" t="s">
        <v>15</v>
      </c>
      <c r="Q179" s="12" t="s">
        <v>16</v>
      </c>
      <c r="R179" s="12" t="s">
        <v>17</v>
      </c>
      <c r="S179" s="13" t="s">
        <v>18</v>
      </c>
      <c r="T179" s="14" t="s">
        <v>19</v>
      </c>
    </row>
    <row r="180" spans="1:20" ht="18.600000000000001" thickBot="1" x14ac:dyDescent="0.5">
      <c r="A180" s="88" t="s">
        <v>20</v>
      </c>
      <c r="B180" s="89"/>
      <c r="C180" s="90"/>
      <c r="D180" s="54">
        <f>D175</f>
        <v>202991</v>
      </c>
      <c r="F180" s="91" t="s">
        <v>21</v>
      </c>
      <c r="G180" s="92"/>
      <c r="H180" s="63">
        <f>H175</f>
        <v>12776</v>
      </c>
      <c r="I180" s="63">
        <f t="shared" ref="I180:R180" si="28">I175</f>
        <v>16551</v>
      </c>
      <c r="J180" s="63">
        <f t="shared" si="28"/>
        <v>18270</v>
      </c>
      <c r="K180" s="63">
        <f t="shared" si="28"/>
        <v>19414</v>
      </c>
      <c r="L180" s="63">
        <f t="shared" si="28"/>
        <v>10025</v>
      </c>
      <c r="M180" s="63">
        <f t="shared" si="28"/>
        <v>19419</v>
      </c>
      <c r="N180" s="63">
        <f t="shared" si="28"/>
        <v>16940</v>
      </c>
      <c r="O180" s="63">
        <f t="shared" si="28"/>
        <v>15991</v>
      </c>
      <c r="P180" s="63">
        <f t="shared" si="28"/>
        <v>15934</v>
      </c>
      <c r="Q180" s="63">
        <f t="shared" si="28"/>
        <v>20313</v>
      </c>
      <c r="R180" s="63">
        <f t="shared" si="28"/>
        <v>19839</v>
      </c>
      <c r="S180" s="63">
        <f>S175</f>
        <v>17519</v>
      </c>
      <c r="T180" s="57">
        <f>T175</f>
        <v>202991</v>
      </c>
    </row>
    <row r="181" spans="1:20" ht="18.600000000000001" thickBot="1" x14ac:dyDescent="0.5">
      <c r="A181" s="94" t="s">
        <v>26</v>
      </c>
      <c r="B181" s="88" t="s">
        <v>27</v>
      </c>
      <c r="C181" s="90"/>
      <c r="D181" s="44">
        <f>T181</f>
        <v>0</v>
      </c>
      <c r="F181" s="96" t="s">
        <v>26</v>
      </c>
      <c r="G181" s="23" t="s">
        <v>28</v>
      </c>
      <c r="H181" s="24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6"/>
      <c r="T181" s="27">
        <f>SUM(H181:S181)</f>
        <v>0</v>
      </c>
    </row>
    <row r="182" spans="1:20" x14ac:dyDescent="0.45">
      <c r="A182" s="95"/>
      <c r="B182" s="88" t="s">
        <v>29</v>
      </c>
      <c r="C182" s="89"/>
      <c r="D182" s="50">
        <f>D18</f>
        <v>0</v>
      </c>
      <c r="F182" s="97"/>
      <c r="G182" s="23" t="s">
        <v>30</v>
      </c>
      <c r="H182" s="29">
        <f t="shared" ref="H182:S182" si="29">ROUNDDOWN(H181*$D$18,0)</f>
        <v>0</v>
      </c>
      <c r="I182" s="29">
        <f t="shared" si="29"/>
        <v>0</v>
      </c>
      <c r="J182" s="29">
        <f t="shared" si="29"/>
        <v>0</v>
      </c>
      <c r="K182" s="29">
        <f t="shared" si="29"/>
        <v>0</v>
      </c>
      <c r="L182" s="29">
        <f t="shared" si="29"/>
        <v>0</v>
      </c>
      <c r="M182" s="29">
        <f t="shared" si="29"/>
        <v>0</v>
      </c>
      <c r="N182" s="29">
        <f t="shared" si="29"/>
        <v>0</v>
      </c>
      <c r="O182" s="29">
        <f t="shared" si="29"/>
        <v>0</v>
      </c>
      <c r="P182" s="29">
        <f t="shared" si="29"/>
        <v>0</v>
      </c>
      <c r="Q182" s="29">
        <f t="shared" si="29"/>
        <v>0</v>
      </c>
      <c r="R182" s="29">
        <f t="shared" si="29"/>
        <v>0</v>
      </c>
      <c r="S182" s="29">
        <f t="shared" si="29"/>
        <v>0</v>
      </c>
      <c r="T182" s="19">
        <f>SUM(H182:S182)</f>
        <v>0</v>
      </c>
    </row>
    <row r="183" spans="1:20" x14ac:dyDescent="0.45">
      <c r="A183" s="93" t="s">
        <v>31</v>
      </c>
      <c r="B183" s="88" t="s">
        <v>32</v>
      </c>
      <c r="C183" s="90"/>
      <c r="D183" s="30">
        <f>D180-D181</f>
        <v>202991</v>
      </c>
      <c r="F183" s="100" t="s">
        <v>33</v>
      </c>
      <c r="G183" s="31" t="s">
        <v>34</v>
      </c>
      <c r="H183" s="32">
        <f t="shared" ref="H183:S183" si="30">H180-H181</f>
        <v>12776</v>
      </c>
      <c r="I183" s="32">
        <f t="shared" si="30"/>
        <v>16551</v>
      </c>
      <c r="J183" s="32">
        <f t="shared" si="30"/>
        <v>18270</v>
      </c>
      <c r="K183" s="32">
        <f t="shared" si="30"/>
        <v>19414</v>
      </c>
      <c r="L183" s="32">
        <f t="shared" si="30"/>
        <v>10025</v>
      </c>
      <c r="M183" s="32">
        <f t="shared" si="30"/>
        <v>19419</v>
      </c>
      <c r="N183" s="32">
        <f t="shared" si="30"/>
        <v>16940</v>
      </c>
      <c r="O183" s="32">
        <f t="shared" si="30"/>
        <v>15991</v>
      </c>
      <c r="P183" s="32">
        <f t="shared" si="30"/>
        <v>15934</v>
      </c>
      <c r="Q183" s="32">
        <f t="shared" si="30"/>
        <v>20313</v>
      </c>
      <c r="R183" s="32">
        <f t="shared" si="30"/>
        <v>19839</v>
      </c>
      <c r="S183" s="32">
        <f t="shared" si="30"/>
        <v>17519</v>
      </c>
      <c r="T183" s="17">
        <f>SUM(H183:S183)</f>
        <v>202991</v>
      </c>
    </row>
    <row r="184" spans="1:20" x14ac:dyDescent="0.45">
      <c r="A184" s="93"/>
      <c r="B184" s="88" t="s">
        <v>35</v>
      </c>
      <c r="C184" s="90"/>
      <c r="D184" s="20">
        <f>D177</f>
        <v>30.57</v>
      </c>
      <c r="F184" s="100"/>
      <c r="G184" s="23" t="s">
        <v>36</v>
      </c>
      <c r="H184" s="32">
        <f>H183*$D184</f>
        <v>390562.32</v>
      </c>
      <c r="I184" s="32">
        <f t="shared" ref="I184:S184" si="31">I183*$D184</f>
        <v>505964.07</v>
      </c>
      <c r="J184" s="32">
        <f t="shared" si="31"/>
        <v>558513.9</v>
      </c>
      <c r="K184" s="32">
        <f t="shared" si="31"/>
        <v>593485.98</v>
      </c>
      <c r="L184" s="32">
        <f t="shared" si="31"/>
        <v>306464.25</v>
      </c>
      <c r="M184" s="32">
        <f t="shared" si="31"/>
        <v>593638.82999999996</v>
      </c>
      <c r="N184" s="32">
        <f t="shared" si="31"/>
        <v>517855.8</v>
      </c>
      <c r="O184" s="32">
        <f t="shared" si="31"/>
        <v>488844.87</v>
      </c>
      <c r="P184" s="32">
        <f t="shared" si="31"/>
        <v>487102.38</v>
      </c>
      <c r="Q184" s="32">
        <f t="shared" si="31"/>
        <v>620968.41</v>
      </c>
      <c r="R184" s="32">
        <f t="shared" si="31"/>
        <v>606478.23</v>
      </c>
      <c r="S184" s="32">
        <f t="shared" si="31"/>
        <v>535555.82999999996</v>
      </c>
      <c r="T184" s="19">
        <f>ROUNDDOWN(SUM(H184:S184),0)</f>
        <v>6205434</v>
      </c>
    </row>
    <row r="185" spans="1:20" x14ac:dyDescent="0.45">
      <c r="A185" s="93" t="s">
        <v>37</v>
      </c>
      <c r="B185" s="93"/>
      <c r="C185" s="93"/>
      <c r="D185" s="18">
        <f>T182+T184</f>
        <v>6205434</v>
      </c>
      <c r="G185" s="33"/>
      <c r="H185" s="33"/>
      <c r="I185" s="33"/>
      <c r="J185" s="33"/>
      <c r="K185" s="34"/>
      <c r="L185" s="34"/>
      <c r="M185" s="34"/>
      <c r="N185" s="34"/>
      <c r="O185" s="34"/>
      <c r="P185" s="34"/>
      <c r="Q185" s="34"/>
      <c r="R185" s="34"/>
      <c r="S185" s="34"/>
      <c r="T185" s="34"/>
    </row>
    <row r="186" spans="1:20" x14ac:dyDescent="0.45">
      <c r="G186" s="33"/>
      <c r="H186" s="33"/>
      <c r="I186" s="33"/>
      <c r="J186" s="33"/>
      <c r="K186" s="34"/>
      <c r="L186" s="34"/>
      <c r="M186" s="34"/>
      <c r="N186" s="34"/>
      <c r="O186" s="34"/>
      <c r="P186" s="34"/>
      <c r="Q186" s="34"/>
      <c r="R186" s="34"/>
      <c r="S186" s="34"/>
      <c r="T186" s="34"/>
    </row>
    <row r="187" spans="1:20" x14ac:dyDescent="0.45">
      <c r="A187" s="10" t="s">
        <v>38</v>
      </c>
      <c r="G187" s="33"/>
      <c r="H187" s="33"/>
      <c r="I187" s="33"/>
      <c r="J187" s="33"/>
      <c r="K187" s="34"/>
      <c r="L187" s="34"/>
      <c r="M187" s="34"/>
      <c r="N187" s="34"/>
      <c r="O187" s="34"/>
      <c r="P187" s="34"/>
      <c r="Q187" s="34"/>
      <c r="R187" s="34"/>
      <c r="S187" s="34"/>
      <c r="T187" s="34"/>
    </row>
    <row r="188" spans="1:20" x14ac:dyDescent="0.45">
      <c r="A188" s="101" t="s">
        <v>80</v>
      </c>
      <c r="B188" s="101"/>
      <c r="C188" s="101"/>
      <c r="D188" s="102">
        <f>D176-D185-1005</f>
        <v>0</v>
      </c>
      <c r="Q188" s="93" t="s">
        <v>39</v>
      </c>
      <c r="R188" s="93"/>
      <c r="S188" s="93"/>
      <c r="T188" s="35" t="s">
        <v>40</v>
      </c>
    </row>
    <row r="189" spans="1:20" x14ac:dyDescent="0.45">
      <c r="A189" s="101"/>
      <c r="B189" s="101"/>
      <c r="C189" s="101"/>
      <c r="D189" s="102"/>
      <c r="Q189" s="93" t="s">
        <v>41</v>
      </c>
      <c r="R189" s="93"/>
      <c r="S189" s="93"/>
      <c r="T189" s="36">
        <f>D181</f>
        <v>0</v>
      </c>
    </row>
    <row r="190" spans="1:20" x14ac:dyDescent="0.45">
      <c r="A190" s="101"/>
      <c r="B190" s="101"/>
      <c r="C190" s="101"/>
      <c r="D190" s="102"/>
      <c r="Q190" s="93" t="s">
        <v>42</v>
      </c>
      <c r="R190" s="93"/>
      <c r="S190" s="93"/>
      <c r="T190" s="37">
        <f>D181/D180*100</f>
        <v>0</v>
      </c>
    </row>
    <row r="191" spans="1:20" x14ac:dyDescent="0.45">
      <c r="A191" s="101"/>
      <c r="B191" s="101"/>
      <c r="C191" s="101"/>
      <c r="D191" s="103"/>
      <c r="Q191" s="93" t="s">
        <v>43</v>
      </c>
      <c r="R191" s="93"/>
      <c r="S191" s="93"/>
      <c r="T191" s="52">
        <f>T189*0.00036</f>
        <v>0</v>
      </c>
    </row>
    <row r="192" spans="1:20" x14ac:dyDescent="0.45">
      <c r="A192" s="94" t="s">
        <v>44</v>
      </c>
      <c r="B192" s="94"/>
      <c r="C192" s="91"/>
      <c r="D192" s="51">
        <v>20</v>
      </c>
      <c r="Q192" s="2" t="s">
        <v>68</v>
      </c>
    </row>
    <row r="193" spans="1:20" x14ac:dyDescent="0.45">
      <c r="A193" s="99" t="s">
        <v>71</v>
      </c>
      <c r="B193" s="99"/>
      <c r="C193" s="99"/>
      <c r="D193" s="40">
        <f>D176*20-(D185*D192+D176*(20-D192))-1005*D192</f>
        <v>0</v>
      </c>
    </row>
    <row r="196" spans="1:20" ht="18.600000000000001" x14ac:dyDescent="0.45">
      <c r="A196" s="8" t="s">
        <v>62</v>
      </c>
      <c r="B196" s="9"/>
      <c r="C196" s="9"/>
      <c r="D196" s="9"/>
    </row>
    <row r="197" spans="1:20" x14ac:dyDescent="0.45">
      <c r="A197" s="10" t="s">
        <v>67</v>
      </c>
      <c r="D197" s="11"/>
      <c r="F197" s="2" t="s">
        <v>6</v>
      </c>
      <c r="H197" s="12" t="s">
        <v>7</v>
      </c>
      <c r="I197" s="12" t="s">
        <v>8</v>
      </c>
      <c r="J197" s="12" t="s">
        <v>9</v>
      </c>
      <c r="K197" s="12" t="s">
        <v>10</v>
      </c>
      <c r="L197" s="12" t="s">
        <v>11</v>
      </c>
      <c r="M197" s="12" t="s">
        <v>12</v>
      </c>
      <c r="N197" s="12" t="s">
        <v>13</v>
      </c>
      <c r="O197" s="12" t="s">
        <v>14</v>
      </c>
      <c r="P197" s="12" t="s">
        <v>15</v>
      </c>
      <c r="Q197" s="12" t="s">
        <v>16</v>
      </c>
      <c r="R197" s="12" t="s">
        <v>17</v>
      </c>
      <c r="S197" s="13" t="s">
        <v>18</v>
      </c>
      <c r="T197" s="14" t="s">
        <v>19</v>
      </c>
    </row>
    <row r="198" spans="1:20" x14ac:dyDescent="0.45">
      <c r="A198" s="88" t="s">
        <v>20</v>
      </c>
      <c r="B198" s="89"/>
      <c r="C198" s="90"/>
      <c r="D198" s="54">
        <f>T198</f>
        <v>186612</v>
      </c>
      <c r="F198" s="91" t="s">
        <v>21</v>
      </c>
      <c r="G198" s="92"/>
      <c r="H198" s="56">
        <v>11602</v>
      </c>
      <c r="I198" s="56">
        <v>12411</v>
      </c>
      <c r="J198" s="56">
        <v>18488</v>
      </c>
      <c r="K198" s="56">
        <v>19181</v>
      </c>
      <c r="L198" s="56">
        <v>8159</v>
      </c>
      <c r="M198" s="56">
        <v>19746</v>
      </c>
      <c r="N198" s="56">
        <v>15190</v>
      </c>
      <c r="O198" s="56">
        <v>15354</v>
      </c>
      <c r="P198" s="56">
        <v>15585</v>
      </c>
      <c r="Q198" s="56">
        <v>19210</v>
      </c>
      <c r="R198" s="56">
        <v>17505</v>
      </c>
      <c r="S198" s="56">
        <v>14181</v>
      </c>
      <c r="T198" s="57">
        <f>SUM(H198:S198)</f>
        <v>186612</v>
      </c>
    </row>
    <row r="199" spans="1:20" x14ac:dyDescent="0.45">
      <c r="A199" s="93" t="s">
        <v>22</v>
      </c>
      <c r="B199" s="93"/>
      <c r="C199" s="93"/>
      <c r="D199" s="59">
        <f>T199</f>
        <v>6336002</v>
      </c>
      <c r="F199" s="93" t="s">
        <v>23</v>
      </c>
      <c r="G199" s="93"/>
      <c r="H199" s="56">
        <v>491814</v>
      </c>
      <c r="I199" s="56">
        <v>497337</v>
      </c>
      <c r="J199" s="56">
        <v>593041</v>
      </c>
      <c r="K199" s="56">
        <v>605150</v>
      </c>
      <c r="L199" s="56">
        <v>402440</v>
      </c>
      <c r="M199" s="56">
        <v>609281</v>
      </c>
      <c r="N199" s="56">
        <v>506919</v>
      </c>
      <c r="O199" s="56">
        <v>506755</v>
      </c>
      <c r="P199" s="56">
        <v>510902</v>
      </c>
      <c r="Q199" s="56">
        <v>572686</v>
      </c>
      <c r="R199" s="56">
        <v>547714</v>
      </c>
      <c r="S199" s="56">
        <v>491963</v>
      </c>
      <c r="T199" s="58">
        <f>SUM(H199:S199)</f>
        <v>6336002</v>
      </c>
    </row>
    <row r="200" spans="1:20" x14ac:dyDescent="0.45">
      <c r="A200" s="88" t="s">
        <v>24</v>
      </c>
      <c r="B200" s="89"/>
      <c r="C200" s="90"/>
      <c r="D200" s="60">
        <f>ROUNDDOWN(D199/D198,2)</f>
        <v>33.950000000000003</v>
      </c>
      <c r="T200" s="11"/>
    </row>
    <row r="201" spans="1:20" x14ac:dyDescent="0.45">
      <c r="A201" s="21"/>
      <c r="T201" s="11"/>
    </row>
    <row r="202" spans="1:20" x14ac:dyDescent="0.45">
      <c r="A202" s="10" t="s">
        <v>25</v>
      </c>
      <c r="D202" s="11"/>
      <c r="F202" s="2" t="s">
        <v>6</v>
      </c>
      <c r="H202" s="12" t="s">
        <v>7</v>
      </c>
      <c r="I202" s="12" t="s">
        <v>8</v>
      </c>
      <c r="J202" s="12" t="s">
        <v>9</v>
      </c>
      <c r="K202" s="12" t="s">
        <v>10</v>
      </c>
      <c r="L202" s="12" t="s">
        <v>11</v>
      </c>
      <c r="M202" s="12" t="s">
        <v>12</v>
      </c>
      <c r="N202" s="12" t="s">
        <v>13</v>
      </c>
      <c r="O202" s="12" t="s">
        <v>14</v>
      </c>
      <c r="P202" s="12" t="s">
        <v>15</v>
      </c>
      <c r="Q202" s="12" t="s">
        <v>16</v>
      </c>
      <c r="R202" s="12" t="s">
        <v>17</v>
      </c>
      <c r="S202" s="13" t="s">
        <v>18</v>
      </c>
      <c r="T202" s="14" t="s">
        <v>19</v>
      </c>
    </row>
    <row r="203" spans="1:20" ht="18.600000000000001" thickBot="1" x14ac:dyDescent="0.5">
      <c r="A203" s="88" t="s">
        <v>20</v>
      </c>
      <c r="B203" s="89"/>
      <c r="C203" s="90"/>
      <c r="D203" s="54">
        <f>D198</f>
        <v>186612</v>
      </c>
      <c r="F203" s="91" t="s">
        <v>21</v>
      </c>
      <c r="G203" s="92"/>
      <c r="H203" s="63">
        <f>H198</f>
        <v>11602</v>
      </c>
      <c r="I203" s="63">
        <f t="shared" ref="I203:R203" si="32">I198</f>
        <v>12411</v>
      </c>
      <c r="J203" s="63">
        <f t="shared" si="32"/>
        <v>18488</v>
      </c>
      <c r="K203" s="63">
        <f t="shared" si="32"/>
        <v>19181</v>
      </c>
      <c r="L203" s="63">
        <f t="shared" si="32"/>
        <v>8159</v>
      </c>
      <c r="M203" s="63">
        <f t="shared" si="32"/>
        <v>19746</v>
      </c>
      <c r="N203" s="63">
        <f t="shared" si="32"/>
        <v>15190</v>
      </c>
      <c r="O203" s="63">
        <f t="shared" si="32"/>
        <v>15354</v>
      </c>
      <c r="P203" s="63">
        <f t="shared" si="32"/>
        <v>15585</v>
      </c>
      <c r="Q203" s="63">
        <f t="shared" si="32"/>
        <v>19210</v>
      </c>
      <c r="R203" s="63">
        <f t="shared" si="32"/>
        <v>17505</v>
      </c>
      <c r="S203" s="63">
        <f>S198</f>
        <v>14181</v>
      </c>
      <c r="T203" s="57">
        <f>T198</f>
        <v>186612</v>
      </c>
    </row>
    <row r="204" spans="1:20" ht="18.600000000000001" thickBot="1" x14ac:dyDescent="0.5">
      <c r="A204" s="94" t="s">
        <v>26</v>
      </c>
      <c r="B204" s="88" t="s">
        <v>27</v>
      </c>
      <c r="C204" s="90"/>
      <c r="D204" s="44">
        <f>T204</f>
        <v>0</v>
      </c>
      <c r="F204" s="96" t="s">
        <v>26</v>
      </c>
      <c r="G204" s="23" t="s">
        <v>28</v>
      </c>
      <c r="H204" s="24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6"/>
      <c r="T204" s="27">
        <f>SUM(H204:S204)</f>
        <v>0</v>
      </c>
    </row>
    <row r="205" spans="1:20" x14ac:dyDescent="0.45">
      <c r="A205" s="95"/>
      <c r="B205" s="88" t="s">
        <v>29</v>
      </c>
      <c r="C205" s="89"/>
      <c r="D205" s="50">
        <f>D18</f>
        <v>0</v>
      </c>
      <c r="F205" s="97"/>
      <c r="G205" s="23" t="s">
        <v>30</v>
      </c>
      <c r="H205" s="29">
        <f t="shared" ref="H205:S205" si="33">ROUNDDOWN(H204*$D$18,0)</f>
        <v>0</v>
      </c>
      <c r="I205" s="29">
        <f t="shared" si="33"/>
        <v>0</v>
      </c>
      <c r="J205" s="29">
        <f t="shared" si="33"/>
        <v>0</v>
      </c>
      <c r="K205" s="29">
        <f t="shared" si="33"/>
        <v>0</v>
      </c>
      <c r="L205" s="29">
        <f t="shared" si="33"/>
        <v>0</v>
      </c>
      <c r="M205" s="29">
        <f t="shared" si="33"/>
        <v>0</v>
      </c>
      <c r="N205" s="29">
        <f t="shared" si="33"/>
        <v>0</v>
      </c>
      <c r="O205" s="29">
        <f t="shared" si="33"/>
        <v>0</v>
      </c>
      <c r="P205" s="29">
        <f t="shared" si="33"/>
        <v>0</v>
      </c>
      <c r="Q205" s="29">
        <f t="shared" si="33"/>
        <v>0</v>
      </c>
      <c r="R205" s="29">
        <f t="shared" si="33"/>
        <v>0</v>
      </c>
      <c r="S205" s="29">
        <f t="shared" si="33"/>
        <v>0</v>
      </c>
      <c r="T205" s="19">
        <f>SUM(H205:S205)</f>
        <v>0</v>
      </c>
    </row>
    <row r="206" spans="1:20" x14ac:dyDescent="0.45">
      <c r="A206" s="93" t="s">
        <v>31</v>
      </c>
      <c r="B206" s="88" t="s">
        <v>32</v>
      </c>
      <c r="C206" s="90"/>
      <c r="D206" s="30">
        <f>D203-D204</f>
        <v>186612</v>
      </c>
      <c r="F206" s="100" t="s">
        <v>33</v>
      </c>
      <c r="G206" s="31" t="s">
        <v>34</v>
      </c>
      <c r="H206" s="32">
        <f t="shared" ref="H206:S206" si="34">H203-H204</f>
        <v>11602</v>
      </c>
      <c r="I206" s="32">
        <f t="shared" si="34"/>
        <v>12411</v>
      </c>
      <c r="J206" s="32">
        <f t="shared" si="34"/>
        <v>18488</v>
      </c>
      <c r="K206" s="32">
        <f t="shared" si="34"/>
        <v>19181</v>
      </c>
      <c r="L206" s="32">
        <f t="shared" si="34"/>
        <v>8159</v>
      </c>
      <c r="M206" s="32">
        <f t="shared" si="34"/>
        <v>19746</v>
      </c>
      <c r="N206" s="32">
        <f t="shared" si="34"/>
        <v>15190</v>
      </c>
      <c r="O206" s="32">
        <f t="shared" si="34"/>
        <v>15354</v>
      </c>
      <c r="P206" s="32">
        <f t="shared" si="34"/>
        <v>15585</v>
      </c>
      <c r="Q206" s="32">
        <f t="shared" si="34"/>
        <v>19210</v>
      </c>
      <c r="R206" s="32">
        <f t="shared" si="34"/>
        <v>17505</v>
      </c>
      <c r="S206" s="32">
        <f t="shared" si="34"/>
        <v>14181</v>
      </c>
      <c r="T206" s="17">
        <f>SUM(H206:S206)</f>
        <v>186612</v>
      </c>
    </row>
    <row r="207" spans="1:20" x14ac:dyDescent="0.45">
      <c r="A207" s="93"/>
      <c r="B207" s="88" t="s">
        <v>35</v>
      </c>
      <c r="C207" s="90"/>
      <c r="D207" s="20">
        <f>D200</f>
        <v>33.950000000000003</v>
      </c>
      <c r="F207" s="100"/>
      <c r="G207" s="23" t="s">
        <v>36</v>
      </c>
      <c r="H207" s="32">
        <f>H206*$D207</f>
        <v>393887.9</v>
      </c>
      <c r="I207" s="32">
        <f t="shared" ref="I207:S207" si="35">I206*$D207</f>
        <v>421353.45</v>
      </c>
      <c r="J207" s="32">
        <f t="shared" si="35"/>
        <v>627667.60000000009</v>
      </c>
      <c r="K207" s="32">
        <f t="shared" si="35"/>
        <v>651194.95000000007</v>
      </c>
      <c r="L207" s="32">
        <f t="shared" si="35"/>
        <v>276998.05000000005</v>
      </c>
      <c r="M207" s="32">
        <f t="shared" si="35"/>
        <v>670376.70000000007</v>
      </c>
      <c r="N207" s="32">
        <f t="shared" si="35"/>
        <v>515700.50000000006</v>
      </c>
      <c r="O207" s="32">
        <f t="shared" si="35"/>
        <v>521268.30000000005</v>
      </c>
      <c r="P207" s="32">
        <f t="shared" si="35"/>
        <v>529110.75</v>
      </c>
      <c r="Q207" s="32">
        <f t="shared" si="35"/>
        <v>652179.5</v>
      </c>
      <c r="R207" s="32">
        <f t="shared" si="35"/>
        <v>594294.75</v>
      </c>
      <c r="S207" s="32">
        <f t="shared" si="35"/>
        <v>481444.95</v>
      </c>
      <c r="T207" s="19">
        <f>ROUNDDOWN(SUM(H207:S207),0)</f>
        <v>6335477</v>
      </c>
    </row>
    <row r="208" spans="1:20" x14ac:dyDescent="0.45">
      <c r="A208" s="93" t="s">
        <v>37</v>
      </c>
      <c r="B208" s="93"/>
      <c r="C208" s="93"/>
      <c r="D208" s="18">
        <f>T205+T207</f>
        <v>6335477</v>
      </c>
      <c r="G208" s="33"/>
      <c r="H208" s="33"/>
      <c r="I208" s="33"/>
      <c r="J208" s="33"/>
      <c r="K208" s="34"/>
      <c r="L208" s="34"/>
      <c r="M208" s="34"/>
      <c r="N208" s="34"/>
      <c r="O208" s="34"/>
      <c r="P208" s="34"/>
      <c r="Q208" s="34"/>
      <c r="R208" s="34"/>
      <c r="S208" s="34"/>
      <c r="T208" s="34"/>
    </row>
    <row r="209" spans="1:20" x14ac:dyDescent="0.45">
      <c r="G209" s="33"/>
      <c r="H209" s="33"/>
      <c r="I209" s="33"/>
      <c r="J209" s="33"/>
      <c r="K209" s="34"/>
      <c r="L209" s="34"/>
      <c r="M209" s="34"/>
      <c r="N209" s="34"/>
      <c r="O209" s="34"/>
      <c r="P209" s="34"/>
      <c r="Q209" s="34"/>
      <c r="R209" s="34"/>
      <c r="S209" s="34"/>
      <c r="T209" s="34"/>
    </row>
    <row r="210" spans="1:20" x14ac:dyDescent="0.45">
      <c r="A210" s="10" t="s">
        <v>38</v>
      </c>
      <c r="G210" s="33"/>
      <c r="H210" s="33"/>
      <c r="I210" s="33"/>
      <c r="J210" s="33"/>
      <c r="K210" s="34"/>
      <c r="L210" s="34"/>
      <c r="M210" s="34"/>
      <c r="N210" s="34"/>
      <c r="O210" s="34"/>
      <c r="P210" s="34"/>
      <c r="Q210" s="34"/>
      <c r="R210" s="34"/>
      <c r="S210" s="34"/>
      <c r="T210" s="34"/>
    </row>
    <row r="211" spans="1:20" x14ac:dyDescent="0.45">
      <c r="A211" s="101" t="s">
        <v>81</v>
      </c>
      <c r="B211" s="101"/>
      <c r="C211" s="101"/>
      <c r="D211" s="102">
        <f>D199-D208-525</f>
        <v>0</v>
      </c>
      <c r="Q211" s="93" t="s">
        <v>39</v>
      </c>
      <c r="R211" s="93"/>
      <c r="S211" s="93"/>
      <c r="T211" s="35" t="s">
        <v>40</v>
      </c>
    </row>
    <row r="212" spans="1:20" x14ac:dyDescent="0.45">
      <c r="A212" s="101"/>
      <c r="B212" s="101"/>
      <c r="C212" s="101"/>
      <c r="D212" s="102"/>
      <c r="Q212" s="93" t="s">
        <v>41</v>
      </c>
      <c r="R212" s="93"/>
      <c r="S212" s="93"/>
      <c r="T212" s="36">
        <f>D204</f>
        <v>0</v>
      </c>
    </row>
    <row r="213" spans="1:20" x14ac:dyDescent="0.45">
      <c r="A213" s="101"/>
      <c r="B213" s="101"/>
      <c r="C213" s="101"/>
      <c r="D213" s="102"/>
      <c r="Q213" s="93" t="s">
        <v>42</v>
      </c>
      <c r="R213" s="93"/>
      <c r="S213" s="93"/>
      <c r="T213" s="37">
        <f>D204/D203*100</f>
        <v>0</v>
      </c>
    </row>
    <row r="214" spans="1:20" x14ac:dyDescent="0.45">
      <c r="A214" s="101"/>
      <c r="B214" s="101"/>
      <c r="C214" s="101"/>
      <c r="D214" s="103"/>
      <c r="Q214" s="93" t="s">
        <v>43</v>
      </c>
      <c r="R214" s="93"/>
      <c r="S214" s="93"/>
      <c r="T214" s="52">
        <f>T212*0.00036</f>
        <v>0</v>
      </c>
    </row>
    <row r="215" spans="1:20" x14ac:dyDescent="0.45">
      <c r="A215" s="94" t="s">
        <v>44</v>
      </c>
      <c r="B215" s="94"/>
      <c r="C215" s="91"/>
      <c r="D215" s="51">
        <v>20</v>
      </c>
      <c r="Q215" s="2" t="s">
        <v>68</v>
      </c>
    </row>
    <row r="216" spans="1:20" x14ac:dyDescent="0.45">
      <c r="A216" s="99" t="s">
        <v>71</v>
      </c>
      <c r="B216" s="99"/>
      <c r="C216" s="99"/>
      <c r="D216" s="40">
        <f>D199*20-(D208*D215+D199*(20-D215))-525*D215</f>
        <v>0</v>
      </c>
    </row>
    <row r="220" spans="1:20" ht="18.600000000000001" x14ac:dyDescent="0.45">
      <c r="A220" s="8" t="s">
        <v>64</v>
      </c>
      <c r="B220" s="9"/>
      <c r="C220" s="9"/>
      <c r="D220" s="9"/>
    </row>
    <row r="221" spans="1:20" x14ac:dyDescent="0.45">
      <c r="A221" s="10" t="s">
        <v>67</v>
      </c>
      <c r="D221" s="11"/>
      <c r="F221" s="2" t="s">
        <v>6</v>
      </c>
      <c r="H221" s="12" t="s">
        <v>7</v>
      </c>
      <c r="I221" s="12" t="s">
        <v>8</v>
      </c>
      <c r="J221" s="12" t="s">
        <v>9</v>
      </c>
      <c r="K221" s="12" t="s">
        <v>10</v>
      </c>
      <c r="L221" s="12" t="s">
        <v>11</v>
      </c>
      <c r="M221" s="12" t="s">
        <v>12</v>
      </c>
      <c r="N221" s="12" t="s">
        <v>13</v>
      </c>
      <c r="O221" s="12" t="s">
        <v>14</v>
      </c>
      <c r="P221" s="12" t="s">
        <v>15</v>
      </c>
      <c r="Q221" s="12" t="s">
        <v>16</v>
      </c>
      <c r="R221" s="12" t="s">
        <v>17</v>
      </c>
      <c r="S221" s="13" t="s">
        <v>18</v>
      </c>
      <c r="T221" s="14" t="s">
        <v>19</v>
      </c>
    </row>
    <row r="222" spans="1:20" x14ac:dyDescent="0.45">
      <c r="A222" s="88" t="s">
        <v>20</v>
      </c>
      <c r="B222" s="89"/>
      <c r="C222" s="90"/>
      <c r="D222" s="54">
        <f>T222</f>
        <v>794473</v>
      </c>
      <c r="F222" s="91" t="s">
        <v>21</v>
      </c>
      <c r="G222" s="92"/>
      <c r="H222" s="56">
        <v>52690</v>
      </c>
      <c r="I222" s="56">
        <v>51643</v>
      </c>
      <c r="J222" s="56">
        <v>56957</v>
      </c>
      <c r="K222" s="56">
        <v>70693</v>
      </c>
      <c r="L222" s="56">
        <v>69997</v>
      </c>
      <c r="M222" s="56">
        <v>56817</v>
      </c>
      <c r="N222" s="56">
        <v>59632</v>
      </c>
      <c r="O222" s="56">
        <v>62904</v>
      </c>
      <c r="P222" s="56">
        <v>88879</v>
      </c>
      <c r="Q222" s="56">
        <v>82538</v>
      </c>
      <c r="R222" s="56">
        <v>72585</v>
      </c>
      <c r="S222" s="56">
        <v>69138</v>
      </c>
      <c r="T222" s="57">
        <f>SUM(H222:S222)</f>
        <v>794473</v>
      </c>
    </row>
    <row r="223" spans="1:20" x14ac:dyDescent="0.45">
      <c r="A223" s="93" t="s">
        <v>22</v>
      </c>
      <c r="B223" s="93"/>
      <c r="C223" s="93"/>
      <c r="D223" s="59">
        <f>T223</f>
        <v>19421547</v>
      </c>
      <c r="F223" s="93" t="s">
        <v>23</v>
      </c>
      <c r="G223" s="93"/>
      <c r="H223" s="56">
        <v>1511174</v>
      </c>
      <c r="I223" s="56">
        <v>1447968</v>
      </c>
      <c r="J223" s="56">
        <v>1509165</v>
      </c>
      <c r="K223" s="56">
        <v>1731536</v>
      </c>
      <c r="L223" s="56">
        <v>1657690</v>
      </c>
      <c r="M223" s="56">
        <v>1488674</v>
      </c>
      <c r="N223" s="56">
        <v>1480868</v>
      </c>
      <c r="O223" s="56">
        <v>1523425</v>
      </c>
      <c r="P223" s="56">
        <v>1932071</v>
      </c>
      <c r="Q223" s="56">
        <v>1834118</v>
      </c>
      <c r="R223" s="56">
        <v>1683723</v>
      </c>
      <c r="S223" s="56">
        <v>1621135</v>
      </c>
      <c r="T223" s="58">
        <f>SUM(H223:S223)</f>
        <v>19421547</v>
      </c>
    </row>
    <row r="224" spans="1:20" x14ac:dyDescent="0.45">
      <c r="A224" s="88" t="s">
        <v>24</v>
      </c>
      <c r="B224" s="89"/>
      <c r="C224" s="90"/>
      <c r="D224" s="60">
        <f>ROUNDDOWN(D223/D222,2)</f>
        <v>24.44</v>
      </c>
      <c r="T224" s="11"/>
    </row>
    <row r="225" spans="1:20" x14ac:dyDescent="0.45">
      <c r="A225" s="21"/>
      <c r="T225" s="11"/>
    </row>
    <row r="226" spans="1:20" x14ac:dyDescent="0.45">
      <c r="A226" s="10" t="s">
        <v>25</v>
      </c>
      <c r="D226" s="11"/>
      <c r="F226" s="2" t="s">
        <v>6</v>
      </c>
      <c r="H226" s="12" t="s">
        <v>7</v>
      </c>
      <c r="I226" s="12" t="s">
        <v>8</v>
      </c>
      <c r="J226" s="12" t="s">
        <v>9</v>
      </c>
      <c r="K226" s="12" t="s">
        <v>10</v>
      </c>
      <c r="L226" s="12" t="s">
        <v>11</v>
      </c>
      <c r="M226" s="12" t="s">
        <v>12</v>
      </c>
      <c r="N226" s="12" t="s">
        <v>13</v>
      </c>
      <c r="O226" s="12" t="s">
        <v>14</v>
      </c>
      <c r="P226" s="12" t="s">
        <v>15</v>
      </c>
      <c r="Q226" s="12" t="s">
        <v>16</v>
      </c>
      <c r="R226" s="12" t="s">
        <v>17</v>
      </c>
      <c r="S226" s="13" t="s">
        <v>18</v>
      </c>
      <c r="T226" s="14" t="s">
        <v>19</v>
      </c>
    </row>
    <row r="227" spans="1:20" ht="18.600000000000001" thickBot="1" x14ac:dyDescent="0.5">
      <c r="A227" s="88" t="s">
        <v>20</v>
      </c>
      <c r="B227" s="89"/>
      <c r="C227" s="90"/>
      <c r="D227" s="54">
        <f>D222</f>
        <v>794473</v>
      </c>
      <c r="F227" s="91" t="s">
        <v>21</v>
      </c>
      <c r="G227" s="92"/>
      <c r="H227" s="63">
        <f>H222</f>
        <v>52690</v>
      </c>
      <c r="I227" s="63">
        <f t="shared" ref="I227:R227" si="36">I222</f>
        <v>51643</v>
      </c>
      <c r="J227" s="63">
        <f t="shared" si="36"/>
        <v>56957</v>
      </c>
      <c r="K227" s="63">
        <f t="shared" si="36"/>
        <v>70693</v>
      </c>
      <c r="L227" s="63">
        <f t="shared" si="36"/>
        <v>69997</v>
      </c>
      <c r="M227" s="63">
        <f t="shared" si="36"/>
        <v>56817</v>
      </c>
      <c r="N227" s="63">
        <f t="shared" si="36"/>
        <v>59632</v>
      </c>
      <c r="O227" s="63">
        <f t="shared" si="36"/>
        <v>62904</v>
      </c>
      <c r="P227" s="63">
        <f t="shared" si="36"/>
        <v>88879</v>
      </c>
      <c r="Q227" s="63">
        <f t="shared" si="36"/>
        <v>82538</v>
      </c>
      <c r="R227" s="63">
        <f t="shared" si="36"/>
        <v>72585</v>
      </c>
      <c r="S227" s="63">
        <f>S222</f>
        <v>69138</v>
      </c>
      <c r="T227" s="57">
        <f>T222</f>
        <v>794473</v>
      </c>
    </row>
    <row r="228" spans="1:20" ht="18.600000000000001" thickBot="1" x14ac:dyDescent="0.5">
      <c r="A228" s="94" t="s">
        <v>26</v>
      </c>
      <c r="B228" s="88" t="s">
        <v>27</v>
      </c>
      <c r="C228" s="90"/>
      <c r="D228" s="44">
        <f>T228</f>
        <v>0</v>
      </c>
      <c r="F228" s="96" t="s">
        <v>26</v>
      </c>
      <c r="G228" s="23" t="s">
        <v>28</v>
      </c>
      <c r="H228" s="24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6"/>
      <c r="T228" s="27">
        <f>SUM(H228:S228)</f>
        <v>0</v>
      </c>
    </row>
    <row r="229" spans="1:20" x14ac:dyDescent="0.45">
      <c r="A229" s="95"/>
      <c r="B229" s="88" t="s">
        <v>29</v>
      </c>
      <c r="C229" s="89"/>
      <c r="D229" s="50">
        <f>D18</f>
        <v>0</v>
      </c>
      <c r="F229" s="97"/>
      <c r="G229" s="23" t="s">
        <v>30</v>
      </c>
      <c r="H229" s="29">
        <f t="shared" ref="H229:S229" si="37">ROUNDDOWN(H228*$D$18,0)</f>
        <v>0</v>
      </c>
      <c r="I229" s="29">
        <f t="shared" si="37"/>
        <v>0</v>
      </c>
      <c r="J229" s="29">
        <f t="shared" si="37"/>
        <v>0</v>
      </c>
      <c r="K229" s="29">
        <f t="shared" si="37"/>
        <v>0</v>
      </c>
      <c r="L229" s="29">
        <f t="shared" si="37"/>
        <v>0</v>
      </c>
      <c r="M229" s="29">
        <f t="shared" si="37"/>
        <v>0</v>
      </c>
      <c r="N229" s="29">
        <f t="shared" si="37"/>
        <v>0</v>
      </c>
      <c r="O229" s="29">
        <f t="shared" si="37"/>
        <v>0</v>
      </c>
      <c r="P229" s="29">
        <f t="shared" si="37"/>
        <v>0</v>
      </c>
      <c r="Q229" s="29">
        <f t="shared" si="37"/>
        <v>0</v>
      </c>
      <c r="R229" s="29">
        <f t="shared" si="37"/>
        <v>0</v>
      </c>
      <c r="S229" s="29">
        <f t="shared" si="37"/>
        <v>0</v>
      </c>
      <c r="T229" s="19">
        <f>SUM(H229:S229)</f>
        <v>0</v>
      </c>
    </row>
    <row r="230" spans="1:20" x14ac:dyDescent="0.45">
      <c r="A230" s="93" t="s">
        <v>31</v>
      </c>
      <c r="B230" s="88" t="s">
        <v>32</v>
      </c>
      <c r="C230" s="90"/>
      <c r="D230" s="15">
        <f>D227-D228</f>
        <v>794473</v>
      </c>
      <c r="F230" s="100" t="s">
        <v>33</v>
      </c>
      <c r="G230" s="31" t="s">
        <v>34</v>
      </c>
      <c r="H230" s="32">
        <f t="shared" ref="H230:S230" si="38">H227-H228</f>
        <v>52690</v>
      </c>
      <c r="I230" s="32">
        <f t="shared" si="38"/>
        <v>51643</v>
      </c>
      <c r="J230" s="32">
        <f t="shared" si="38"/>
        <v>56957</v>
      </c>
      <c r="K230" s="32">
        <f t="shared" si="38"/>
        <v>70693</v>
      </c>
      <c r="L230" s="32">
        <f t="shared" si="38"/>
        <v>69997</v>
      </c>
      <c r="M230" s="32">
        <f t="shared" si="38"/>
        <v>56817</v>
      </c>
      <c r="N230" s="32">
        <f t="shared" si="38"/>
        <v>59632</v>
      </c>
      <c r="O230" s="32">
        <f t="shared" si="38"/>
        <v>62904</v>
      </c>
      <c r="P230" s="32">
        <f t="shared" si="38"/>
        <v>88879</v>
      </c>
      <c r="Q230" s="32">
        <f t="shared" si="38"/>
        <v>82538</v>
      </c>
      <c r="R230" s="32">
        <f t="shared" si="38"/>
        <v>72585</v>
      </c>
      <c r="S230" s="32">
        <f t="shared" si="38"/>
        <v>69138</v>
      </c>
      <c r="T230" s="17">
        <f>SUM(H230:S230)</f>
        <v>794473</v>
      </c>
    </row>
    <row r="231" spans="1:20" x14ac:dyDescent="0.45">
      <c r="A231" s="93"/>
      <c r="B231" s="88" t="s">
        <v>35</v>
      </c>
      <c r="C231" s="90"/>
      <c r="D231" s="20">
        <f>D224</f>
        <v>24.44</v>
      </c>
      <c r="F231" s="100"/>
      <c r="G231" s="23" t="s">
        <v>36</v>
      </c>
      <c r="H231" s="32">
        <f>H230*$D231</f>
        <v>1287743.6000000001</v>
      </c>
      <c r="I231" s="32">
        <f t="shared" ref="I231:S231" si="39">I230*$D231</f>
        <v>1262154.9200000002</v>
      </c>
      <c r="J231" s="32">
        <f t="shared" si="39"/>
        <v>1392029.08</v>
      </c>
      <c r="K231" s="32">
        <f t="shared" si="39"/>
        <v>1727736.9200000002</v>
      </c>
      <c r="L231" s="32">
        <f t="shared" si="39"/>
        <v>1710726.6800000002</v>
      </c>
      <c r="M231" s="32">
        <f t="shared" si="39"/>
        <v>1388607.48</v>
      </c>
      <c r="N231" s="32">
        <f t="shared" si="39"/>
        <v>1457406.08</v>
      </c>
      <c r="O231" s="32">
        <f t="shared" si="39"/>
        <v>1537373.76</v>
      </c>
      <c r="P231" s="32">
        <f t="shared" si="39"/>
        <v>2172202.7600000002</v>
      </c>
      <c r="Q231" s="32">
        <f t="shared" si="39"/>
        <v>2017228.7200000002</v>
      </c>
      <c r="R231" s="32">
        <f t="shared" si="39"/>
        <v>1773977.4000000001</v>
      </c>
      <c r="S231" s="32">
        <f t="shared" si="39"/>
        <v>1689732.7200000002</v>
      </c>
      <c r="T231" s="19">
        <f>ROUNDDOWN(SUM(H231:S231),0)</f>
        <v>19416920</v>
      </c>
    </row>
    <row r="232" spans="1:20" x14ac:dyDescent="0.45">
      <c r="A232" s="93" t="s">
        <v>37</v>
      </c>
      <c r="B232" s="93"/>
      <c r="C232" s="93"/>
      <c r="D232" s="18">
        <f>T229+T231</f>
        <v>19416920</v>
      </c>
      <c r="G232" s="33"/>
      <c r="H232" s="33"/>
      <c r="I232" s="33"/>
      <c r="J232" s="33"/>
      <c r="K232" s="34"/>
      <c r="L232" s="34"/>
      <c r="M232" s="34"/>
      <c r="N232" s="34"/>
      <c r="O232" s="34"/>
      <c r="P232" s="34"/>
      <c r="Q232" s="34"/>
      <c r="R232" s="34"/>
      <c r="S232" s="34"/>
      <c r="T232" s="34"/>
    </row>
    <row r="233" spans="1:20" x14ac:dyDescent="0.45">
      <c r="G233" s="33"/>
      <c r="H233" s="33"/>
      <c r="I233" s="33"/>
      <c r="J233" s="33"/>
      <c r="K233" s="34"/>
      <c r="L233" s="34"/>
      <c r="M233" s="34"/>
      <c r="N233" s="34"/>
      <c r="O233" s="34"/>
      <c r="P233" s="34"/>
      <c r="Q233" s="34"/>
      <c r="R233" s="34"/>
      <c r="S233" s="34"/>
      <c r="T233" s="34"/>
    </row>
    <row r="234" spans="1:20" x14ac:dyDescent="0.45">
      <c r="A234" s="10" t="s">
        <v>38</v>
      </c>
      <c r="G234" s="33"/>
      <c r="H234" s="33"/>
      <c r="I234" s="33"/>
      <c r="J234" s="33"/>
      <c r="K234" s="34"/>
      <c r="L234" s="34"/>
      <c r="M234" s="34"/>
      <c r="N234" s="34"/>
      <c r="O234" s="34"/>
      <c r="P234" s="34"/>
      <c r="Q234" s="34"/>
      <c r="R234" s="34"/>
      <c r="S234" s="34"/>
      <c r="T234" s="34"/>
    </row>
    <row r="235" spans="1:20" x14ac:dyDescent="0.45">
      <c r="A235" s="101" t="s">
        <v>82</v>
      </c>
      <c r="B235" s="101"/>
      <c r="C235" s="101"/>
      <c r="D235" s="102">
        <f>D223-D232-4627</f>
        <v>0</v>
      </c>
      <c r="Q235" s="93" t="s">
        <v>39</v>
      </c>
      <c r="R235" s="93"/>
      <c r="S235" s="93"/>
      <c r="T235" s="35" t="s">
        <v>40</v>
      </c>
    </row>
    <row r="236" spans="1:20" x14ac:dyDescent="0.45">
      <c r="A236" s="101"/>
      <c r="B236" s="101"/>
      <c r="C236" s="101"/>
      <c r="D236" s="102"/>
      <c r="Q236" s="93" t="s">
        <v>41</v>
      </c>
      <c r="R236" s="93"/>
      <c r="S236" s="93"/>
      <c r="T236" s="36">
        <f>D228</f>
        <v>0</v>
      </c>
    </row>
    <row r="237" spans="1:20" x14ac:dyDescent="0.45">
      <c r="A237" s="101"/>
      <c r="B237" s="101"/>
      <c r="C237" s="101"/>
      <c r="D237" s="102"/>
      <c r="Q237" s="93" t="s">
        <v>42</v>
      </c>
      <c r="R237" s="93"/>
      <c r="S237" s="93"/>
      <c r="T237" s="37">
        <f>D228/D227*100</f>
        <v>0</v>
      </c>
    </row>
    <row r="238" spans="1:20" x14ac:dyDescent="0.45">
      <c r="A238" s="101"/>
      <c r="B238" s="101"/>
      <c r="C238" s="101"/>
      <c r="D238" s="103"/>
      <c r="Q238" s="93" t="s">
        <v>43</v>
      </c>
      <c r="R238" s="93"/>
      <c r="S238" s="93"/>
      <c r="T238" s="52">
        <f>T236*0.00036</f>
        <v>0</v>
      </c>
    </row>
    <row r="239" spans="1:20" x14ac:dyDescent="0.45">
      <c r="A239" s="94" t="s">
        <v>44</v>
      </c>
      <c r="B239" s="94"/>
      <c r="C239" s="91"/>
      <c r="D239" s="51">
        <v>20</v>
      </c>
      <c r="Q239" s="2" t="s">
        <v>68</v>
      </c>
    </row>
    <row r="240" spans="1:20" x14ac:dyDescent="0.45">
      <c r="A240" s="99" t="s">
        <v>71</v>
      </c>
      <c r="B240" s="99"/>
      <c r="C240" s="99"/>
      <c r="D240" s="40">
        <f>D223*20-(D232*D239+D223*(20-D239))-4627*D239</f>
        <v>0</v>
      </c>
    </row>
  </sheetData>
  <sheetProtection algorithmName="SHA-512" hashValue="5vuR6UQZMvvmgBkYgw8eSRywgHPocCvE4cZRVIS8wtYJJVfnUuTkvw6qI2aEdu1E6p9Nimm9Vu4PdNsGJK2g0w==" saltValue="DwGnmF3aQEOFlSfQqJf4NQ==" spinCount="100000" sheet="1" objects="1" scenarios="1"/>
  <mergeCells count="248">
    <mergeCell ref="A57:C57"/>
    <mergeCell ref="F57:G57"/>
    <mergeCell ref="A58:C58"/>
    <mergeCell ref="F58:G58"/>
    <mergeCell ref="A239:C239"/>
    <mergeCell ref="A240:C240"/>
    <mergeCell ref="A232:C232"/>
    <mergeCell ref="A235:C238"/>
    <mergeCell ref="D235:D238"/>
    <mergeCell ref="A222:C222"/>
    <mergeCell ref="F222:G222"/>
    <mergeCell ref="A223:C223"/>
    <mergeCell ref="F223:G223"/>
    <mergeCell ref="A224:C224"/>
    <mergeCell ref="A227:C227"/>
    <mergeCell ref="F227:G227"/>
    <mergeCell ref="A200:C200"/>
    <mergeCell ref="A203:C203"/>
    <mergeCell ref="F203:G203"/>
    <mergeCell ref="A204:A205"/>
    <mergeCell ref="B204:C204"/>
    <mergeCell ref="F204:F205"/>
    <mergeCell ref="B205:C205"/>
    <mergeCell ref="A192:C192"/>
    <mergeCell ref="Q235:S235"/>
    <mergeCell ref="Q236:S236"/>
    <mergeCell ref="Q237:S237"/>
    <mergeCell ref="Q238:S238"/>
    <mergeCell ref="A228:A229"/>
    <mergeCell ref="B228:C228"/>
    <mergeCell ref="F228:F229"/>
    <mergeCell ref="B229:C229"/>
    <mergeCell ref="A230:A231"/>
    <mergeCell ref="B230:C230"/>
    <mergeCell ref="F230:F231"/>
    <mergeCell ref="B231:C231"/>
    <mergeCell ref="Q211:S211"/>
    <mergeCell ref="Q212:S212"/>
    <mergeCell ref="Q213:S213"/>
    <mergeCell ref="Q214:S214"/>
    <mergeCell ref="A215:C215"/>
    <mergeCell ref="A216:C216"/>
    <mergeCell ref="A206:A207"/>
    <mergeCell ref="B206:C206"/>
    <mergeCell ref="F206:F207"/>
    <mergeCell ref="B207:C207"/>
    <mergeCell ref="A208:C208"/>
    <mergeCell ref="A211:C214"/>
    <mergeCell ref="D211:D214"/>
    <mergeCell ref="A193:C193"/>
    <mergeCell ref="A198:C198"/>
    <mergeCell ref="F198:G198"/>
    <mergeCell ref="A199:C199"/>
    <mergeCell ref="F199:G199"/>
    <mergeCell ref="A185:C185"/>
    <mergeCell ref="A188:C191"/>
    <mergeCell ref="D188:D191"/>
    <mergeCell ref="Q188:S188"/>
    <mergeCell ref="Q189:S189"/>
    <mergeCell ref="Q190:S190"/>
    <mergeCell ref="Q191:S191"/>
    <mergeCell ref="A181:A182"/>
    <mergeCell ref="B181:C181"/>
    <mergeCell ref="F181:F182"/>
    <mergeCell ref="B182:C182"/>
    <mergeCell ref="A183:A184"/>
    <mergeCell ref="B183:C183"/>
    <mergeCell ref="F183:F184"/>
    <mergeCell ref="B184:C184"/>
    <mergeCell ref="A175:C175"/>
    <mergeCell ref="F175:G175"/>
    <mergeCell ref="A176:C176"/>
    <mergeCell ref="F176:G176"/>
    <mergeCell ref="A177:C177"/>
    <mergeCell ref="A180:C180"/>
    <mergeCell ref="F180:G180"/>
    <mergeCell ref="Q164:S164"/>
    <mergeCell ref="Q165:S165"/>
    <mergeCell ref="Q166:S166"/>
    <mergeCell ref="Q167:S167"/>
    <mergeCell ref="A168:C168"/>
    <mergeCell ref="A169:C169"/>
    <mergeCell ref="A159:A160"/>
    <mergeCell ref="B159:C159"/>
    <mergeCell ref="F159:F160"/>
    <mergeCell ref="B160:C160"/>
    <mergeCell ref="A161:C161"/>
    <mergeCell ref="A164:C167"/>
    <mergeCell ref="D164:D167"/>
    <mergeCell ref="A153:C153"/>
    <mergeCell ref="A156:C156"/>
    <mergeCell ref="F156:G156"/>
    <mergeCell ref="A157:A158"/>
    <mergeCell ref="B157:C157"/>
    <mergeCell ref="F157:F158"/>
    <mergeCell ref="B158:C158"/>
    <mergeCell ref="A145:C145"/>
    <mergeCell ref="A146:C146"/>
    <mergeCell ref="A151:C151"/>
    <mergeCell ref="F151:G151"/>
    <mergeCell ref="A152:C152"/>
    <mergeCell ref="F152:G152"/>
    <mergeCell ref="A138:C138"/>
    <mergeCell ref="A141:C144"/>
    <mergeCell ref="D141:D144"/>
    <mergeCell ref="Q141:S141"/>
    <mergeCell ref="Q142:S142"/>
    <mergeCell ref="Q143:S143"/>
    <mergeCell ref="Q144:S144"/>
    <mergeCell ref="A134:A135"/>
    <mergeCell ref="B134:C134"/>
    <mergeCell ref="F134:F135"/>
    <mergeCell ref="B135:C135"/>
    <mergeCell ref="A136:A137"/>
    <mergeCell ref="B136:C136"/>
    <mergeCell ref="F136:F137"/>
    <mergeCell ref="B137:C137"/>
    <mergeCell ref="A128:C128"/>
    <mergeCell ref="F128:G128"/>
    <mergeCell ref="A129:C129"/>
    <mergeCell ref="F129:G129"/>
    <mergeCell ref="A130:C130"/>
    <mergeCell ref="A133:C133"/>
    <mergeCell ref="F133:G133"/>
    <mergeCell ref="Q117:S117"/>
    <mergeCell ref="Q118:S118"/>
    <mergeCell ref="Q119:S119"/>
    <mergeCell ref="Q120:S120"/>
    <mergeCell ref="A121:C121"/>
    <mergeCell ref="A122:C122"/>
    <mergeCell ref="A112:A113"/>
    <mergeCell ref="B112:C112"/>
    <mergeCell ref="F112:F113"/>
    <mergeCell ref="B113:C113"/>
    <mergeCell ref="A114:C114"/>
    <mergeCell ref="A117:C120"/>
    <mergeCell ref="D117:D120"/>
    <mergeCell ref="A106:C106"/>
    <mergeCell ref="A109:C109"/>
    <mergeCell ref="F109:G109"/>
    <mergeCell ref="A110:A111"/>
    <mergeCell ref="B110:C110"/>
    <mergeCell ref="F110:F111"/>
    <mergeCell ref="B111:C111"/>
    <mergeCell ref="A98:C98"/>
    <mergeCell ref="A99:C99"/>
    <mergeCell ref="A104:C104"/>
    <mergeCell ref="F104:G104"/>
    <mergeCell ref="A105:C105"/>
    <mergeCell ref="F105:G105"/>
    <mergeCell ref="A91:C91"/>
    <mergeCell ref="A94:C97"/>
    <mergeCell ref="D94:D97"/>
    <mergeCell ref="Q94:S94"/>
    <mergeCell ref="Q95:S95"/>
    <mergeCell ref="Q96:S96"/>
    <mergeCell ref="Q97:S97"/>
    <mergeCell ref="A87:A88"/>
    <mergeCell ref="B87:C87"/>
    <mergeCell ref="F87:F88"/>
    <mergeCell ref="B88:C88"/>
    <mergeCell ref="A89:A90"/>
    <mergeCell ref="B89:C89"/>
    <mergeCell ref="F89:F90"/>
    <mergeCell ref="B90:C90"/>
    <mergeCell ref="A81:C81"/>
    <mergeCell ref="F81:G81"/>
    <mergeCell ref="A82:C82"/>
    <mergeCell ref="F82:G82"/>
    <mergeCell ref="A83:C83"/>
    <mergeCell ref="A86:C86"/>
    <mergeCell ref="F86:G86"/>
    <mergeCell ref="Q70:S70"/>
    <mergeCell ref="Q71:S71"/>
    <mergeCell ref="Q72:S72"/>
    <mergeCell ref="Q73:S73"/>
    <mergeCell ref="A74:C74"/>
    <mergeCell ref="A75:C75"/>
    <mergeCell ref="A65:A66"/>
    <mergeCell ref="B65:C65"/>
    <mergeCell ref="F65:F66"/>
    <mergeCell ref="B66:C66"/>
    <mergeCell ref="A67:C67"/>
    <mergeCell ref="A70:C73"/>
    <mergeCell ref="D70:D73"/>
    <mergeCell ref="A59:C59"/>
    <mergeCell ref="A62:C62"/>
    <mergeCell ref="F62:G62"/>
    <mergeCell ref="A63:A64"/>
    <mergeCell ref="B63:C63"/>
    <mergeCell ref="F63:F64"/>
    <mergeCell ref="B64:C64"/>
    <mergeCell ref="A51:C51"/>
    <mergeCell ref="A52:C52"/>
    <mergeCell ref="A44:C44"/>
    <mergeCell ref="A47:C50"/>
    <mergeCell ref="D47:D50"/>
    <mergeCell ref="Q47:S47"/>
    <mergeCell ref="Q48:S48"/>
    <mergeCell ref="Q49:S49"/>
    <mergeCell ref="Q50:S50"/>
    <mergeCell ref="A40:A41"/>
    <mergeCell ref="B40:C40"/>
    <mergeCell ref="F40:F41"/>
    <mergeCell ref="B41:C41"/>
    <mergeCell ref="A42:A43"/>
    <mergeCell ref="B42:C42"/>
    <mergeCell ref="F42:F43"/>
    <mergeCell ref="B43:C43"/>
    <mergeCell ref="A34:C34"/>
    <mergeCell ref="F34:G34"/>
    <mergeCell ref="A35:C35"/>
    <mergeCell ref="F35:G35"/>
    <mergeCell ref="A36:C36"/>
    <mergeCell ref="A39:C39"/>
    <mergeCell ref="F39:G39"/>
    <mergeCell ref="Q24:S24"/>
    <mergeCell ref="Q25:S25"/>
    <mergeCell ref="Q26:S26"/>
    <mergeCell ref="Q27:S27"/>
    <mergeCell ref="A28:C28"/>
    <mergeCell ref="A29:C29"/>
    <mergeCell ref="A19:A20"/>
    <mergeCell ref="B19:C19"/>
    <mergeCell ref="F19:F20"/>
    <mergeCell ref="B20:C20"/>
    <mergeCell ref="A21:C21"/>
    <mergeCell ref="A24:C27"/>
    <mergeCell ref="D24:D27"/>
    <mergeCell ref="A12:C12"/>
    <mergeCell ref="F12:G12"/>
    <mergeCell ref="A13:C13"/>
    <mergeCell ref="A16:C16"/>
    <mergeCell ref="F16:G16"/>
    <mergeCell ref="A17:A18"/>
    <mergeCell ref="B17:C17"/>
    <mergeCell ref="F17:F18"/>
    <mergeCell ref="B18:C18"/>
    <mergeCell ref="P6:T7"/>
    <mergeCell ref="K6:L7"/>
    <mergeCell ref="M6:N7"/>
    <mergeCell ref="B2:D2"/>
    <mergeCell ref="B3:D3"/>
    <mergeCell ref="B4:D4"/>
    <mergeCell ref="F6:G7"/>
    <mergeCell ref="H6:I7"/>
    <mergeCell ref="A11:C11"/>
    <mergeCell ref="F11:G11"/>
  </mergeCells>
  <phoneticPr fontId="3"/>
  <pageMargins left="0.70866141732283472" right="0.70866141732283472" top="0.74803149606299213" bottom="0.74803149606299213" header="0.31496062992125984" footer="0.31496062992125984"/>
  <pageSetup paperSize="9" scale="45" orientation="landscape" r:id="rId1"/>
  <rowBreaks count="4" manualBreakCount="4">
    <brk id="53" max="16383" man="1"/>
    <brk id="100" max="16383" man="1"/>
    <brk id="147" max="16383" man="1"/>
    <brk id="19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topLeftCell="B198" zoomScale="75" zoomScaleNormal="75" workbookViewId="0">
      <selection activeCell="D225" sqref="D225"/>
    </sheetView>
  </sheetViews>
  <sheetFormatPr defaultRowHeight="18" x14ac:dyDescent="0.45"/>
  <cols>
    <col min="1" max="1" width="16" style="2" customWidth="1"/>
    <col min="2" max="2" width="14.5" style="2" customWidth="1"/>
    <col min="3" max="3" width="23.19921875" style="2" customWidth="1"/>
    <col min="4" max="4" width="14.69921875" style="2" bestFit="1" customWidth="1"/>
    <col min="5" max="5" width="4.09765625" style="2" customWidth="1"/>
    <col min="6" max="6" width="4.8984375" style="2" customWidth="1"/>
    <col min="7" max="7" width="29.5" style="2" customWidth="1"/>
    <col min="8" max="19" width="11.59765625" style="2" customWidth="1"/>
    <col min="20" max="20" width="16.8984375" style="2" customWidth="1"/>
  </cols>
  <sheetData>
    <row r="1" spans="1:20" ht="23.4" thickBot="1" x14ac:dyDescent="0.5">
      <c r="A1" s="1" t="s">
        <v>0</v>
      </c>
      <c r="B1" s="1" t="s">
        <v>1</v>
      </c>
    </row>
    <row r="2" spans="1:20" x14ac:dyDescent="0.45">
      <c r="A2" s="3" t="s">
        <v>2</v>
      </c>
      <c r="B2" s="74"/>
      <c r="C2" s="74"/>
      <c r="D2" s="75"/>
    </row>
    <row r="3" spans="1:20" x14ac:dyDescent="0.45">
      <c r="A3" s="4" t="s">
        <v>3</v>
      </c>
      <c r="B3" s="76"/>
      <c r="C3" s="76"/>
      <c r="D3" s="77"/>
    </row>
    <row r="4" spans="1:20" ht="18.600000000000001" thickBot="1" x14ac:dyDescent="0.5">
      <c r="A4" s="5" t="s">
        <v>4</v>
      </c>
      <c r="B4" s="78"/>
      <c r="C4" s="78"/>
      <c r="D4" s="79"/>
    </row>
    <row r="5" spans="1:20" ht="18.600000000000001" thickBot="1" x14ac:dyDescent="0.5"/>
    <row r="6" spans="1:20" ht="24.6" x14ac:dyDescent="0.45">
      <c r="A6" s="6"/>
      <c r="F6" s="80" t="s">
        <v>66</v>
      </c>
      <c r="G6" s="81"/>
      <c r="H6" s="84">
        <f>ROUNDDOWN(D29+D52+D75+D98+D121+D144+D167+D190+D213+D236,-3)</f>
        <v>0</v>
      </c>
      <c r="I6" s="85"/>
    </row>
    <row r="7" spans="1:20" ht="19.2" thickBot="1" x14ac:dyDescent="0.5">
      <c r="A7" s="7"/>
      <c r="C7" s="7"/>
      <c r="F7" s="82"/>
      <c r="G7" s="83"/>
      <c r="H7" s="86"/>
      <c r="I7" s="87"/>
    </row>
    <row r="8" spans="1:20" x14ac:dyDescent="0.45">
      <c r="H8" s="2" t="s">
        <v>5</v>
      </c>
    </row>
    <row r="9" spans="1:20" ht="18.600000000000001" x14ac:dyDescent="0.45">
      <c r="A9" s="8" t="s">
        <v>46</v>
      </c>
      <c r="B9" s="9"/>
      <c r="C9" s="9"/>
      <c r="D9" s="9"/>
    </row>
    <row r="10" spans="1:20" x14ac:dyDescent="0.45">
      <c r="A10" s="10" t="s">
        <v>67</v>
      </c>
      <c r="D10" s="11"/>
      <c r="F10" s="2" t="s">
        <v>6</v>
      </c>
      <c r="H10" s="12" t="s">
        <v>7</v>
      </c>
      <c r="I10" s="12" t="s">
        <v>8</v>
      </c>
      <c r="J10" s="12" t="s">
        <v>9</v>
      </c>
      <c r="K10" s="12" t="s">
        <v>10</v>
      </c>
      <c r="L10" s="12" t="s">
        <v>11</v>
      </c>
      <c r="M10" s="12" t="s">
        <v>12</v>
      </c>
      <c r="N10" s="12" t="s">
        <v>13</v>
      </c>
      <c r="O10" s="12" t="s">
        <v>14</v>
      </c>
      <c r="P10" s="12" t="s">
        <v>15</v>
      </c>
      <c r="Q10" s="12" t="s">
        <v>16</v>
      </c>
      <c r="R10" s="12" t="s">
        <v>17</v>
      </c>
      <c r="S10" s="13" t="s">
        <v>18</v>
      </c>
      <c r="T10" s="14" t="s">
        <v>19</v>
      </c>
    </row>
    <row r="11" spans="1:20" x14ac:dyDescent="0.45">
      <c r="A11" s="88" t="s">
        <v>20</v>
      </c>
      <c r="B11" s="89"/>
      <c r="C11" s="90"/>
      <c r="D11" s="15">
        <f>T11</f>
        <v>500265</v>
      </c>
      <c r="F11" s="91" t="s">
        <v>21</v>
      </c>
      <c r="G11" s="92"/>
      <c r="H11" s="16">
        <v>27434</v>
      </c>
      <c r="I11" s="16">
        <v>32804</v>
      </c>
      <c r="J11" s="16">
        <v>48724</v>
      </c>
      <c r="K11" s="16">
        <v>55141</v>
      </c>
      <c r="L11" s="16">
        <v>26867</v>
      </c>
      <c r="M11" s="16">
        <v>66369</v>
      </c>
      <c r="N11" s="16">
        <v>34131</v>
      </c>
      <c r="O11" s="16">
        <v>34753</v>
      </c>
      <c r="P11" s="16">
        <v>37552</v>
      </c>
      <c r="Q11" s="16">
        <v>45880</v>
      </c>
      <c r="R11" s="16">
        <v>49574</v>
      </c>
      <c r="S11" s="16">
        <v>41036</v>
      </c>
      <c r="T11" s="17">
        <f>SUM(H11:S11)</f>
        <v>500265</v>
      </c>
    </row>
    <row r="12" spans="1:20" x14ac:dyDescent="0.45">
      <c r="A12" s="93" t="s">
        <v>22</v>
      </c>
      <c r="B12" s="93"/>
      <c r="C12" s="93"/>
      <c r="D12" s="18">
        <f>T12</f>
        <v>19505318</v>
      </c>
      <c r="F12" s="93" t="s">
        <v>23</v>
      </c>
      <c r="G12" s="93"/>
      <c r="H12" s="16">
        <v>1465192</v>
      </c>
      <c r="I12" s="16">
        <v>1494786</v>
      </c>
      <c r="J12" s="16">
        <v>1765740</v>
      </c>
      <c r="K12" s="16">
        <v>1890893</v>
      </c>
      <c r="L12" s="16">
        <v>1329760</v>
      </c>
      <c r="M12" s="16">
        <v>2064747</v>
      </c>
      <c r="N12" s="16">
        <v>1434391</v>
      </c>
      <c r="O12" s="16">
        <v>1436643</v>
      </c>
      <c r="P12" s="16">
        <v>1538254</v>
      </c>
      <c r="Q12" s="16">
        <v>1677417</v>
      </c>
      <c r="R12" s="16">
        <v>1742777</v>
      </c>
      <c r="S12" s="16">
        <v>1664718</v>
      </c>
      <c r="T12" s="19">
        <f>SUM(H12:S12)</f>
        <v>19505318</v>
      </c>
    </row>
    <row r="13" spans="1:20" x14ac:dyDescent="0.45">
      <c r="A13" s="88" t="s">
        <v>24</v>
      </c>
      <c r="B13" s="89"/>
      <c r="C13" s="90"/>
      <c r="D13" s="20">
        <f>ROUNDDOWN(D12/D11,2)</f>
        <v>38.979999999999997</v>
      </c>
      <c r="T13" s="11"/>
    </row>
    <row r="14" spans="1:20" x14ac:dyDescent="0.45">
      <c r="A14" s="21"/>
      <c r="T14" s="11"/>
    </row>
    <row r="15" spans="1:20" x14ac:dyDescent="0.45">
      <c r="A15" s="10" t="s">
        <v>25</v>
      </c>
      <c r="D15" s="11"/>
      <c r="F15" s="2" t="s">
        <v>6</v>
      </c>
      <c r="H15" s="12" t="s">
        <v>7</v>
      </c>
      <c r="I15" s="12" t="s">
        <v>8</v>
      </c>
      <c r="J15" s="12" t="s">
        <v>9</v>
      </c>
      <c r="K15" s="12" t="s">
        <v>10</v>
      </c>
      <c r="L15" s="12" t="s">
        <v>11</v>
      </c>
      <c r="M15" s="12" t="s">
        <v>12</v>
      </c>
      <c r="N15" s="12" t="s">
        <v>13</v>
      </c>
      <c r="O15" s="12" t="s">
        <v>14</v>
      </c>
      <c r="P15" s="12" t="s">
        <v>15</v>
      </c>
      <c r="Q15" s="12" t="s">
        <v>16</v>
      </c>
      <c r="R15" s="12" t="s">
        <v>17</v>
      </c>
      <c r="S15" s="13" t="s">
        <v>18</v>
      </c>
      <c r="T15" s="14" t="s">
        <v>19</v>
      </c>
    </row>
    <row r="16" spans="1:20" ht="18.600000000000001" thickBot="1" x14ac:dyDescent="0.5">
      <c r="A16" s="88" t="s">
        <v>20</v>
      </c>
      <c r="B16" s="89"/>
      <c r="C16" s="90"/>
      <c r="D16" s="15">
        <f>D11</f>
        <v>500265</v>
      </c>
      <c r="F16" s="91" t="s">
        <v>21</v>
      </c>
      <c r="G16" s="92"/>
      <c r="H16" s="22">
        <f>H11</f>
        <v>27434</v>
      </c>
      <c r="I16" s="22">
        <f t="shared" ref="I16:R16" si="0">I11</f>
        <v>32804</v>
      </c>
      <c r="J16" s="22">
        <f t="shared" si="0"/>
        <v>48724</v>
      </c>
      <c r="K16" s="22">
        <f t="shared" si="0"/>
        <v>55141</v>
      </c>
      <c r="L16" s="22">
        <f t="shared" si="0"/>
        <v>26867</v>
      </c>
      <c r="M16" s="22">
        <f t="shared" si="0"/>
        <v>66369</v>
      </c>
      <c r="N16" s="22">
        <f t="shared" si="0"/>
        <v>34131</v>
      </c>
      <c r="O16" s="22">
        <f t="shared" si="0"/>
        <v>34753</v>
      </c>
      <c r="P16" s="22">
        <f t="shared" si="0"/>
        <v>37552</v>
      </c>
      <c r="Q16" s="22">
        <f t="shared" si="0"/>
        <v>45880</v>
      </c>
      <c r="R16" s="22">
        <f t="shared" si="0"/>
        <v>49574</v>
      </c>
      <c r="S16" s="22">
        <f>S11</f>
        <v>41036</v>
      </c>
      <c r="T16" s="17">
        <f>T11</f>
        <v>500265</v>
      </c>
    </row>
    <row r="17" spans="1:20" ht="18.600000000000001" thickBot="1" x14ac:dyDescent="0.5">
      <c r="A17" s="94" t="s">
        <v>26</v>
      </c>
      <c r="B17" s="88" t="s">
        <v>27</v>
      </c>
      <c r="C17" s="90"/>
      <c r="D17" s="15">
        <f>T17</f>
        <v>0</v>
      </c>
      <c r="F17" s="96" t="s">
        <v>26</v>
      </c>
      <c r="G17" s="23" t="s">
        <v>28</v>
      </c>
      <c r="H17" s="24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6"/>
      <c r="T17" s="27">
        <f>SUM(H17:S17)</f>
        <v>0</v>
      </c>
    </row>
    <row r="18" spans="1:20" ht="18.600000000000001" thickBot="1" x14ac:dyDescent="0.5">
      <c r="A18" s="95"/>
      <c r="B18" s="88" t="s">
        <v>29</v>
      </c>
      <c r="C18" s="98"/>
      <c r="D18" s="28"/>
      <c r="F18" s="97"/>
      <c r="G18" s="23" t="s">
        <v>30</v>
      </c>
      <c r="H18" s="29">
        <f>ROUNDDOWN(H17*$D$18,0)</f>
        <v>0</v>
      </c>
      <c r="I18" s="29">
        <f t="shared" ref="I18:S18" si="1">ROUNDDOWN(I17*$D$18,0)</f>
        <v>0</v>
      </c>
      <c r="J18" s="29">
        <f t="shared" si="1"/>
        <v>0</v>
      </c>
      <c r="K18" s="29">
        <f t="shared" si="1"/>
        <v>0</v>
      </c>
      <c r="L18" s="29">
        <f t="shared" si="1"/>
        <v>0</v>
      </c>
      <c r="M18" s="29">
        <f t="shared" si="1"/>
        <v>0</v>
      </c>
      <c r="N18" s="29">
        <f t="shared" si="1"/>
        <v>0</v>
      </c>
      <c r="O18" s="29">
        <f t="shared" si="1"/>
        <v>0</v>
      </c>
      <c r="P18" s="29">
        <f t="shared" si="1"/>
        <v>0</v>
      </c>
      <c r="Q18" s="29">
        <f t="shared" si="1"/>
        <v>0</v>
      </c>
      <c r="R18" s="29">
        <f t="shared" si="1"/>
        <v>0</v>
      </c>
      <c r="S18" s="29">
        <f t="shared" si="1"/>
        <v>0</v>
      </c>
      <c r="T18" s="19">
        <f>SUM(H18:S18)</f>
        <v>0</v>
      </c>
    </row>
    <row r="19" spans="1:20" x14ac:dyDescent="0.45">
      <c r="A19" s="93" t="s">
        <v>31</v>
      </c>
      <c r="B19" s="88" t="s">
        <v>32</v>
      </c>
      <c r="C19" s="90"/>
      <c r="D19" s="30">
        <f>D16-D17</f>
        <v>500265</v>
      </c>
      <c r="F19" s="100" t="s">
        <v>33</v>
      </c>
      <c r="G19" s="31" t="s">
        <v>34</v>
      </c>
      <c r="H19" s="32">
        <f t="shared" ref="H19:S19" si="2">H16-H17</f>
        <v>27434</v>
      </c>
      <c r="I19" s="32">
        <f t="shared" si="2"/>
        <v>32804</v>
      </c>
      <c r="J19" s="32">
        <f t="shared" si="2"/>
        <v>48724</v>
      </c>
      <c r="K19" s="32">
        <f t="shared" si="2"/>
        <v>55141</v>
      </c>
      <c r="L19" s="32">
        <f t="shared" si="2"/>
        <v>26867</v>
      </c>
      <c r="M19" s="32">
        <f t="shared" si="2"/>
        <v>66369</v>
      </c>
      <c r="N19" s="32">
        <f t="shared" si="2"/>
        <v>34131</v>
      </c>
      <c r="O19" s="32">
        <f t="shared" si="2"/>
        <v>34753</v>
      </c>
      <c r="P19" s="32">
        <f t="shared" si="2"/>
        <v>37552</v>
      </c>
      <c r="Q19" s="32">
        <f t="shared" si="2"/>
        <v>45880</v>
      </c>
      <c r="R19" s="32">
        <f t="shared" si="2"/>
        <v>49574</v>
      </c>
      <c r="S19" s="32">
        <f t="shared" si="2"/>
        <v>41036</v>
      </c>
      <c r="T19" s="17">
        <f>SUM(H19:S19)</f>
        <v>500265</v>
      </c>
    </row>
    <row r="20" spans="1:20" x14ac:dyDescent="0.45">
      <c r="A20" s="93"/>
      <c r="B20" s="88" t="s">
        <v>35</v>
      </c>
      <c r="C20" s="90"/>
      <c r="D20" s="20">
        <f>D13</f>
        <v>38.979999999999997</v>
      </c>
      <c r="F20" s="100"/>
      <c r="G20" s="23" t="s">
        <v>36</v>
      </c>
      <c r="H20" s="32">
        <f>H19*$D20</f>
        <v>1069377.3199999998</v>
      </c>
      <c r="I20" s="32">
        <f t="shared" ref="I20:S20" si="3">I19*$D20</f>
        <v>1278699.92</v>
      </c>
      <c r="J20" s="32">
        <f t="shared" si="3"/>
        <v>1899261.5199999998</v>
      </c>
      <c r="K20" s="32">
        <f t="shared" si="3"/>
        <v>2149396.1799999997</v>
      </c>
      <c r="L20" s="32">
        <f t="shared" si="3"/>
        <v>1047275.6599999999</v>
      </c>
      <c r="M20" s="32">
        <f t="shared" si="3"/>
        <v>2587063.6199999996</v>
      </c>
      <c r="N20" s="32">
        <f t="shared" si="3"/>
        <v>1330426.3799999999</v>
      </c>
      <c r="O20" s="32">
        <f t="shared" si="3"/>
        <v>1354671.94</v>
      </c>
      <c r="P20" s="32">
        <f t="shared" si="3"/>
        <v>1463776.96</v>
      </c>
      <c r="Q20" s="32">
        <f t="shared" si="3"/>
        <v>1788402.4</v>
      </c>
      <c r="R20" s="32">
        <f t="shared" si="3"/>
        <v>1932394.5199999998</v>
      </c>
      <c r="S20" s="32">
        <f t="shared" si="3"/>
        <v>1599583.2799999998</v>
      </c>
      <c r="T20" s="19">
        <f>ROUNDDOWN(SUM(H20:S20),0)</f>
        <v>19500329</v>
      </c>
    </row>
    <row r="21" spans="1:20" x14ac:dyDescent="0.45">
      <c r="A21" s="93" t="s">
        <v>37</v>
      </c>
      <c r="B21" s="93"/>
      <c r="C21" s="93"/>
      <c r="D21" s="18">
        <f>T18+T20</f>
        <v>19500329</v>
      </c>
      <c r="G21" s="33"/>
      <c r="H21" s="33"/>
      <c r="I21" s="33"/>
      <c r="J21" s="33"/>
      <c r="K21" s="34"/>
      <c r="L21" s="34"/>
      <c r="M21" s="34"/>
      <c r="N21" s="34"/>
      <c r="O21" s="34"/>
      <c r="P21" s="34"/>
      <c r="Q21" s="34"/>
      <c r="R21" s="34"/>
      <c r="S21" s="34"/>
      <c r="T21" s="34"/>
    </row>
    <row r="22" spans="1:20" x14ac:dyDescent="0.45">
      <c r="G22" s="33"/>
      <c r="H22" s="33"/>
      <c r="I22" s="33"/>
      <c r="J22" s="33"/>
      <c r="K22" s="34"/>
      <c r="L22" s="34"/>
      <c r="M22" s="34"/>
      <c r="N22" s="34"/>
      <c r="O22" s="34"/>
      <c r="P22" s="34"/>
      <c r="Q22" s="34"/>
      <c r="R22" s="34"/>
      <c r="S22" s="34"/>
      <c r="T22" s="34"/>
    </row>
    <row r="23" spans="1:20" x14ac:dyDescent="0.45">
      <c r="A23" s="10" t="s">
        <v>38</v>
      </c>
      <c r="G23" s="33"/>
      <c r="H23" s="33"/>
      <c r="I23" s="33"/>
      <c r="J23" s="33"/>
      <c r="K23" s="34"/>
      <c r="L23" s="34"/>
      <c r="M23" s="34"/>
      <c r="N23" s="34"/>
      <c r="O23" s="34"/>
      <c r="P23" s="34"/>
      <c r="Q23" s="34"/>
      <c r="R23" s="34"/>
      <c r="S23" s="34"/>
      <c r="T23" s="34"/>
    </row>
    <row r="24" spans="1:20" x14ac:dyDescent="0.45">
      <c r="A24" s="101" t="s">
        <v>48</v>
      </c>
      <c r="B24" s="101"/>
      <c r="C24" s="101"/>
      <c r="D24" s="102">
        <f>D12-D21-4989</f>
        <v>0</v>
      </c>
      <c r="Q24" s="93" t="s">
        <v>39</v>
      </c>
      <c r="R24" s="93"/>
      <c r="S24" s="93"/>
      <c r="T24" s="35" t="s">
        <v>40</v>
      </c>
    </row>
    <row r="25" spans="1:20" x14ac:dyDescent="0.45">
      <c r="A25" s="101"/>
      <c r="B25" s="101"/>
      <c r="C25" s="101"/>
      <c r="D25" s="102"/>
      <c r="Q25" s="93" t="s">
        <v>41</v>
      </c>
      <c r="R25" s="93"/>
      <c r="S25" s="93"/>
      <c r="T25" s="36">
        <f>D17</f>
        <v>0</v>
      </c>
    </row>
    <row r="26" spans="1:20" x14ac:dyDescent="0.45">
      <c r="A26" s="101"/>
      <c r="B26" s="101"/>
      <c r="C26" s="101"/>
      <c r="D26" s="102"/>
      <c r="Q26" s="93" t="s">
        <v>42</v>
      </c>
      <c r="R26" s="93"/>
      <c r="S26" s="93"/>
      <c r="T26" s="37">
        <f>D17/D16*100</f>
        <v>0</v>
      </c>
    </row>
    <row r="27" spans="1:20" ht="18.600000000000001" thickBot="1" x14ac:dyDescent="0.5">
      <c r="A27" s="101"/>
      <c r="B27" s="101"/>
      <c r="C27" s="101"/>
      <c r="D27" s="103"/>
      <c r="Q27" s="93" t="s">
        <v>43</v>
      </c>
      <c r="R27" s="93"/>
      <c r="S27" s="93"/>
      <c r="T27" s="38">
        <f>T25*0.00036</f>
        <v>0</v>
      </c>
    </row>
    <row r="28" spans="1:20" ht="18.600000000000001" thickBot="1" x14ac:dyDescent="0.5">
      <c r="A28" s="94" t="s">
        <v>44</v>
      </c>
      <c r="B28" s="94"/>
      <c r="C28" s="91"/>
      <c r="D28" s="39"/>
      <c r="Q28" s="2" t="s">
        <v>68</v>
      </c>
    </row>
    <row r="29" spans="1:20" x14ac:dyDescent="0.45">
      <c r="A29" s="99" t="s">
        <v>45</v>
      </c>
      <c r="B29" s="99"/>
      <c r="C29" s="99"/>
      <c r="D29" s="40">
        <f>D12*20-(D21*D28+D12*(20-D28))-4989*D28</f>
        <v>0</v>
      </c>
    </row>
    <row r="32" spans="1:20" ht="18.600000000000001" x14ac:dyDescent="0.45">
      <c r="A32" s="8" t="s">
        <v>47</v>
      </c>
      <c r="B32" s="9"/>
      <c r="C32" s="9"/>
      <c r="D32" s="9"/>
      <c r="T32" s="11"/>
    </row>
    <row r="33" spans="1:20" x14ac:dyDescent="0.45">
      <c r="A33" s="10" t="s">
        <v>67</v>
      </c>
      <c r="D33" s="11"/>
      <c r="F33" s="2" t="s">
        <v>6</v>
      </c>
      <c r="H33" s="12" t="s">
        <v>7</v>
      </c>
      <c r="I33" s="12" t="s">
        <v>8</v>
      </c>
      <c r="J33" s="12" t="s">
        <v>9</v>
      </c>
      <c r="K33" s="12" t="s">
        <v>10</v>
      </c>
      <c r="L33" s="12" t="s">
        <v>11</v>
      </c>
      <c r="M33" s="12" t="s">
        <v>12</v>
      </c>
      <c r="N33" s="12" t="s">
        <v>13</v>
      </c>
      <c r="O33" s="12" t="s">
        <v>14</v>
      </c>
      <c r="P33" s="12" t="s">
        <v>15</v>
      </c>
      <c r="Q33" s="12" t="s">
        <v>16</v>
      </c>
      <c r="R33" s="12" t="s">
        <v>17</v>
      </c>
      <c r="S33" s="13" t="s">
        <v>18</v>
      </c>
      <c r="T33" s="14" t="s">
        <v>19</v>
      </c>
    </row>
    <row r="34" spans="1:20" x14ac:dyDescent="0.45">
      <c r="A34" s="88" t="s">
        <v>20</v>
      </c>
      <c r="B34" s="89"/>
      <c r="C34" s="90"/>
      <c r="D34" s="15">
        <f>T34</f>
        <v>147540</v>
      </c>
      <c r="F34" s="91" t="s">
        <v>21</v>
      </c>
      <c r="G34" s="92"/>
      <c r="H34" s="41">
        <v>9650</v>
      </c>
      <c r="I34" s="15">
        <v>9410</v>
      </c>
      <c r="J34" s="15">
        <v>10548</v>
      </c>
      <c r="K34" s="15">
        <v>17427</v>
      </c>
      <c r="L34" s="15">
        <v>16839</v>
      </c>
      <c r="M34" s="15">
        <v>6791</v>
      </c>
      <c r="N34" s="15">
        <v>15559</v>
      </c>
      <c r="O34" s="15">
        <v>11318</v>
      </c>
      <c r="P34" s="15">
        <v>11890</v>
      </c>
      <c r="Q34" s="15">
        <v>11209</v>
      </c>
      <c r="R34" s="15">
        <v>12749</v>
      </c>
      <c r="S34" s="15">
        <v>14150</v>
      </c>
      <c r="T34" s="17">
        <f>SUM(H34:S34)</f>
        <v>147540</v>
      </c>
    </row>
    <row r="35" spans="1:20" x14ac:dyDescent="0.45">
      <c r="A35" s="93" t="s">
        <v>22</v>
      </c>
      <c r="B35" s="93"/>
      <c r="C35" s="93"/>
      <c r="D35" s="18">
        <f>T35</f>
        <v>4484936</v>
      </c>
      <c r="F35" s="93" t="s">
        <v>23</v>
      </c>
      <c r="G35" s="93"/>
      <c r="H35" s="42">
        <v>354134</v>
      </c>
      <c r="I35" s="16">
        <v>336812</v>
      </c>
      <c r="J35" s="16">
        <v>350316</v>
      </c>
      <c r="K35" s="16">
        <v>462081</v>
      </c>
      <c r="L35" s="16">
        <v>456351</v>
      </c>
      <c r="M35" s="16">
        <v>272123</v>
      </c>
      <c r="N35" s="16">
        <v>439245</v>
      </c>
      <c r="O35" s="16">
        <v>347656</v>
      </c>
      <c r="P35" s="16">
        <v>355001</v>
      </c>
      <c r="Q35" s="16">
        <v>343920</v>
      </c>
      <c r="R35" s="16">
        <v>370535</v>
      </c>
      <c r="S35" s="16">
        <v>396762</v>
      </c>
      <c r="T35" s="19">
        <f>SUM(H35:S35)</f>
        <v>4484936</v>
      </c>
    </row>
    <row r="36" spans="1:20" x14ac:dyDescent="0.45">
      <c r="A36" s="88" t="s">
        <v>24</v>
      </c>
      <c r="B36" s="89"/>
      <c r="C36" s="90"/>
      <c r="D36" s="20">
        <f>ROUNDDOWN(D35/D34,2)</f>
        <v>30.39</v>
      </c>
      <c r="T36" s="11"/>
    </row>
    <row r="37" spans="1:20" x14ac:dyDescent="0.45">
      <c r="A37" s="21"/>
      <c r="T37" s="11"/>
    </row>
    <row r="38" spans="1:20" x14ac:dyDescent="0.45">
      <c r="A38" s="10" t="s">
        <v>25</v>
      </c>
      <c r="D38" s="11"/>
      <c r="F38" s="2" t="s">
        <v>6</v>
      </c>
      <c r="H38" s="12" t="s">
        <v>7</v>
      </c>
      <c r="I38" s="12" t="s">
        <v>8</v>
      </c>
      <c r="J38" s="12" t="s">
        <v>9</v>
      </c>
      <c r="K38" s="12" t="s">
        <v>10</v>
      </c>
      <c r="L38" s="12" t="s">
        <v>11</v>
      </c>
      <c r="M38" s="12" t="s">
        <v>12</v>
      </c>
      <c r="N38" s="12" t="s">
        <v>13</v>
      </c>
      <c r="O38" s="12" t="s">
        <v>14</v>
      </c>
      <c r="P38" s="12" t="s">
        <v>15</v>
      </c>
      <c r="Q38" s="12" t="s">
        <v>16</v>
      </c>
      <c r="R38" s="12" t="s">
        <v>17</v>
      </c>
      <c r="S38" s="13" t="s">
        <v>18</v>
      </c>
      <c r="T38" s="14" t="s">
        <v>19</v>
      </c>
    </row>
    <row r="39" spans="1:20" ht="18.600000000000001" thickBot="1" x14ac:dyDescent="0.5">
      <c r="A39" s="88" t="s">
        <v>20</v>
      </c>
      <c r="B39" s="89"/>
      <c r="C39" s="90"/>
      <c r="D39" s="15">
        <f>D34</f>
        <v>147540</v>
      </c>
      <c r="F39" s="91" t="s">
        <v>21</v>
      </c>
      <c r="G39" s="92"/>
      <c r="H39" s="43">
        <f>H34</f>
        <v>9650</v>
      </c>
      <c r="I39" s="43">
        <f t="shared" ref="I39:R39" si="4">I34</f>
        <v>9410</v>
      </c>
      <c r="J39" s="43">
        <f t="shared" si="4"/>
        <v>10548</v>
      </c>
      <c r="K39" s="43">
        <f t="shared" si="4"/>
        <v>17427</v>
      </c>
      <c r="L39" s="43">
        <f t="shared" si="4"/>
        <v>16839</v>
      </c>
      <c r="M39" s="43">
        <f t="shared" si="4"/>
        <v>6791</v>
      </c>
      <c r="N39" s="43">
        <f t="shared" si="4"/>
        <v>15559</v>
      </c>
      <c r="O39" s="43">
        <f t="shared" si="4"/>
        <v>11318</v>
      </c>
      <c r="P39" s="43">
        <f t="shared" si="4"/>
        <v>11890</v>
      </c>
      <c r="Q39" s="43">
        <f t="shared" si="4"/>
        <v>11209</v>
      </c>
      <c r="R39" s="43">
        <f t="shared" si="4"/>
        <v>12749</v>
      </c>
      <c r="S39" s="44">
        <f>S34</f>
        <v>14150</v>
      </c>
      <c r="T39" s="17">
        <f>T34</f>
        <v>147540</v>
      </c>
    </row>
    <row r="40" spans="1:20" ht="18.600000000000001" thickBot="1" x14ac:dyDescent="0.5">
      <c r="A40" s="94" t="s">
        <v>26</v>
      </c>
      <c r="B40" s="88" t="s">
        <v>27</v>
      </c>
      <c r="C40" s="90"/>
      <c r="D40" s="15">
        <f>T40</f>
        <v>0</v>
      </c>
      <c r="F40" s="96" t="s">
        <v>26</v>
      </c>
      <c r="G40" s="23" t="s">
        <v>28</v>
      </c>
      <c r="H40" s="24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6"/>
      <c r="T40" s="27">
        <f>SUM(H40:S40)</f>
        <v>0</v>
      </c>
    </row>
    <row r="41" spans="1:20" ht="18.600000000000001" thickBot="1" x14ac:dyDescent="0.5">
      <c r="A41" s="95"/>
      <c r="B41" s="88" t="s">
        <v>29</v>
      </c>
      <c r="C41" s="98"/>
      <c r="D41" s="45">
        <f>D18</f>
        <v>0</v>
      </c>
      <c r="F41" s="97"/>
      <c r="G41" s="23" t="s">
        <v>30</v>
      </c>
      <c r="H41" s="29">
        <f>ROUNDDOWN(H40*$D$41,0)</f>
        <v>0</v>
      </c>
      <c r="I41" s="29">
        <f t="shared" ref="I41:R41" si="5">ROUNDDOWN(I40*$D$41,0)</f>
        <v>0</v>
      </c>
      <c r="J41" s="29">
        <f t="shared" si="5"/>
        <v>0</v>
      </c>
      <c r="K41" s="29">
        <f t="shared" si="5"/>
        <v>0</v>
      </c>
      <c r="L41" s="29">
        <f t="shared" si="5"/>
        <v>0</v>
      </c>
      <c r="M41" s="29">
        <f t="shared" si="5"/>
        <v>0</v>
      </c>
      <c r="N41" s="29">
        <f t="shared" si="5"/>
        <v>0</v>
      </c>
      <c r="O41" s="29">
        <f t="shared" si="5"/>
        <v>0</v>
      </c>
      <c r="P41" s="29">
        <f t="shared" si="5"/>
        <v>0</v>
      </c>
      <c r="Q41" s="29">
        <f t="shared" si="5"/>
        <v>0</v>
      </c>
      <c r="R41" s="29">
        <f t="shared" si="5"/>
        <v>0</v>
      </c>
      <c r="S41" s="29">
        <f>ROUNDDOWN(S40*$D$41,0)</f>
        <v>0</v>
      </c>
      <c r="T41" s="19">
        <f>SUM(H41:S41)</f>
        <v>0</v>
      </c>
    </row>
    <row r="42" spans="1:20" x14ac:dyDescent="0.45">
      <c r="A42" s="94" t="s">
        <v>31</v>
      </c>
      <c r="B42" s="88" t="s">
        <v>32</v>
      </c>
      <c r="C42" s="90"/>
      <c r="D42" s="30">
        <f>D39-D40</f>
        <v>147540</v>
      </c>
      <c r="F42" s="100" t="s">
        <v>33</v>
      </c>
      <c r="G42" s="23" t="s">
        <v>34</v>
      </c>
      <c r="H42" s="32">
        <f>H39-H40</f>
        <v>9650</v>
      </c>
      <c r="I42" s="32">
        <f t="shared" ref="I42:S42" si="6">I39-I40</f>
        <v>9410</v>
      </c>
      <c r="J42" s="32">
        <f t="shared" si="6"/>
        <v>10548</v>
      </c>
      <c r="K42" s="32">
        <f t="shared" si="6"/>
        <v>17427</v>
      </c>
      <c r="L42" s="32">
        <f t="shared" si="6"/>
        <v>16839</v>
      </c>
      <c r="M42" s="32">
        <f t="shared" si="6"/>
        <v>6791</v>
      </c>
      <c r="N42" s="32">
        <f t="shared" si="6"/>
        <v>15559</v>
      </c>
      <c r="O42" s="32">
        <f t="shared" si="6"/>
        <v>11318</v>
      </c>
      <c r="P42" s="32">
        <f t="shared" si="6"/>
        <v>11890</v>
      </c>
      <c r="Q42" s="32">
        <f t="shared" si="6"/>
        <v>11209</v>
      </c>
      <c r="R42" s="32">
        <f t="shared" si="6"/>
        <v>12749</v>
      </c>
      <c r="S42" s="32">
        <f t="shared" si="6"/>
        <v>14150</v>
      </c>
      <c r="T42" s="17">
        <f>SUM(H42:S42)</f>
        <v>147540</v>
      </c>
    </row>
    <row r="43" spans="1:20" x14ac:dyDescent="0.45">
      <c r="A43" s="95"/>
      <c r="B43" s="88" t="s">
        <v>35</v>
      </c>
      <c r="C43" s="90"/>
      <c r="D43" s="20">
        <f>D36</f>
        <v>30.39</v>
      </c>
      <c r="F43" s="100"/>
      <c r="G43" s="23" t="s">
        <v>36</v>
      </c>
      <c r="H43" s="32">
        <f>H42*$D43</f>
        <v>293263.5</v>
      </c>
      <c r="I43" s="32">
        <f t="shared" ref="I43:R43" si="7">I42*$D43</f>
        <v>285969.90000000002</v>
      </c>
      <c r="J43" s="32">
        <f t="shared" si="7"/>
        <v>320553.72000000003</v>
      </c>
      <c r="K43" s="32">
        <f t="shared" si="7"/>
        <v>529606.53</v>
      </c>
      <c r="L43" s="32">
        <f t="shared" si="7"/>
        <v>511737.21</v>
      </c>
      <c r="M43" s="32">
        <f t="shared" si="7"/>
        <v>206378.49</v>
      </c>
      <c r="N43" s="32">
        <f t="shared" si="7"/>
        <v>472838.01</v>
      </c>
      <c r="O43" s="32">
        <f t="shared" si="7"/>
        <v>343954.02</v>
      </c>
      <c r="P43" s="32">
        <f t="shared" si="7"/>
        <v>361337.10000000003</v>
      </c>
      <c r="Q43" s="32">
        <f t="shared" si="7"/>
        <v>340641.51</v>
      </c>
      <c r="R43" s="32">
        <f t="shared" si="7"/>
        <v>387442.11</v>
      </c>
      <c r="S43" s="32">
        <f>S42*$D43</f>
        <v>430018.5</v>
      </c>
      <c r="T43" s="19">
        <f>ROUNDDOWN(SUM(H43:S43),0)</f>
        <v>4483740</v>
      </c>
    </row>
    <row r="44" spans="1:20" x14ac:dyDescent="0.45">
      <c r="A44" s="93" t="s">
        <v>37</v>
      </c>
      <c r="B44" s="93"/>
      <c r="C44" s="93"/>
      <c r="D44" s="18">
        <f>T41+T43</f>
        <v>4483740</v>
      </c>
      <c r="F44" s="46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</row>
    <row r="45" spans="1:20" x14ac:dyDescent="0.45">
      <c r="F45" s="46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</row>
    <row r="46" spans="1:20" x14ac:dyDescent="0.45">
      <c r="A46" s="10" t="s">
        <v>38</v>
      </c>
      <c r="G46" s="47"/>
      <c r="H46" s="33"/>
      <c r="I46" s="33"/>
      <c r="J46" s="33"/>
      <c r="K46" s="34"/>
      <c r="L46" s="34"/>
      <c r="M46" s="34"/>
      <c r="N46" s="34"/>
      <c r="O46" s="34"/>
      <c r="P46" s="34"/>
    </row>
    <row r="47" spans="1:20" x14ac:dyDescent="0.45">
      <c r="A47" s="101" t="s">
        <v>49</v>
      </c>
      <c r="B47" s="101"/>
      <c r="C47" s="101"/>
      <c r="D47" s="102">
        <f>D35-D44-1196</f>
        <v>0</v>
      </c>
      <c r="I47" s="34"/>
      <c r="Q47" s="93" t="s">
        <v>39</v>
      </c>
      <c r="R47" s="93"/>
      <c r="S47" s="93"/>
      <c r="T47" s="35" t="s">
        <v>40</v>
      </c>
    </row>
    <row r="48" spans="1:20" x14ac:dyDescent="0.45">
      <c r="A48" s="101"/>
      <c r="B48" s="101"/>
      <c r="C48" s="101"/>
      <c r="D48" s="102"/>
      <c r="Q48" s="93" t="s">
        <v>41</v>
      </c>
      <c r="R48" s="93"/>
      <c r="S48" s="93"/>
      <c r="T48" s="36">
        <f>D40</f>
        <v>0</v>
      </c>
    </row>
    <row r="49" spans="1:20" x14ac:dyDescent="0.45">
      <c r="A49" s="101"/>
      <c r="B49" s="101"/>
      <c r="C49" s="101"/>
      <c r="D49" s="102"/>
      <c r="Q49" s="93" t="s">
        <v>42</v>
      </c>
      <c r="R49" s="93"/>
      <c r="S49" s="93"/>
      <c r="T49" s="37">
        <f>D40/D39*100</f>
        <v>0</v>
      </c>
    </row>
    <row r="50" spans="1:20" ht="18.600000000000001" thickBot="1" x14ac:dyDescent="0.5">
      <c r="A50" s="101"/>
      <c r="B50" s="101"/>
      <c r="C50" s="101"/>
      <c r="D50" s="102"/>
      <c r="Q50" s="93" t="s">
        <v>43</v>
      </c>
      <c r="R50" s="93"/>
      <c r="S50" s="93"/>
      <c r="T50" s="38">
        <f>T48*0.00036</f>
        <v>0</v>
      </c>
    </row>
    <row r="51" spans="1:20" ht="18.600000000000001" thickBot="1" x14ac:dyDescent="0.5">
      <c r="A51" s="94" t="s">
        <v>44</v>
      </c>
      <c r="B51" s="94"/>
      <c r="C51" s="91"/>
      <c r="D51" s="39"/>
      <c r="H51" s="48"/>
      <c r="I51" s="34"/>
      <c r="Q51" s="2" t="s">
        <v>68</v>
      </c>
    </row>
    <row r="52" spans="1:20" x14ac:dyDescent="0.45">
      <c r="A52" s="99" t="s">
        <v>45</v>
      </c>
      <c r="B52" s="99"/>
      <c r="C52" s="99"/>
      <c r="D52" s="40">
        <f>D35*20-(D44*D51+D35*(20-D51))-1196*D51</f>
        <v>0</v>
      </c>
    </row>
    <row r="55" spans="1:20" ht="18.600000000000001" x14ac:dyDescent="0.45">
      <c r="A55" s="8" t="s">
        <v>51</v>
      </c>
      <c r="B55" s="9"/>
      <c r="C55" s="9"/>
      <c r="D55" s="9"/>
    </row>
    <row r="56" spans="1:20" x14ac:dyDescent="0.45">
      <c r="A56" s="10" t="s">
        <v>67</v>
      </c>
      <c r="D56" s="11"/>
      <c r="F56" s="2" t="s">
        <v>6</v>
      </c>
      <c r="H56" s="12" t="s">
        <v>7</v>
      </c>
      <c r="I56" s="12" t="s">
        <v>8</v>
      </c>
      <c r="J56" s="12" t="s">
        <v>9</v>
      </c>
      <c r="K56" s="12" t="s">
        <v>10</v>
      </c>
      <c r="L56" s="12" t="s">
        <v>11</v>
      </c>
      <c r="M56" s="12" t="s">
        <v>12</v>
      </c>
      <c r="N56" s="12" t="s">
        <v>13</v>
      </c>
      <c r="O56" s="12" t="s">
        <v>14</v>
      </c>
      <c r="P56" s="12" t="s">
        <v>15</v>
      </c>
      <c r="Q56" s="12" t="s">
        <v>16</v>
      </c>
      <c r="R56" s="12" t="s">
        <v>17</v>
      </c>
      <c r="S56" s="13" t="s">
        <v>18</v>
      </c>
      <c r="T56" s="14" t="s">
        <v>19</v>
      </c>
    </row>
    <row r="57" spans="1:20" x14ac:dyDescent="0.45">
      <c r="A57" s="88" t="s">
        <v>20</v>
      </c>
      <c r="B57" s="89"/>
      <c r="C57" s="90"/>
      <c r="D57" s="15">
        <f>T57</f>
        <v>209961</v>
      </c>
      <c r="F57" s="91" t="s">
        <v>21</v>
      </c>
      <c r="G57" s="92"/>
      <c r="H57" s="16">
        <v>15692</v>
      </c>
      <c r="I57" s="16">
        <v>14443</v>
      </c>
      <c r="J57" s="16">
        <v>15976</v>
      </c>
      <c r="K57" s="16">
        <v>19555</v>
      </c>
      <c r="L57" s="16">
        <v>21431</v>
      </c>
      <c r="M57" s="16">
        <v>14391</v>
      </c>
      <c r="N57" s="16">
        <v>22621</v>
      </c>
      <c r="O57" s="16">
        <v>16482</v>
      </c>
      <c r="P57" s="16">
        <v>16802</v>
      </c>
      <c r="Q57" s="16">
        <v>17273</v>
      </c>
      <c r="R57" s="16">
        <v>17428</v>
      </c>
      <c r="S57" s="16">
        <v>17867</v>
      </c>
      <c r="T57" s="17">
        <f>SUM(H57:S57)</f>
        <v>209961</v>
      </c>
    </row>
    <row r="58" spans="1:20" x14ac:dyDescent="0.45">
      <c r="A58" s="93" t="s">
        <v>22</v>
      </c>
      <c r="B58" s="93"/>
      <c r="C58" s="93"/>
      <c r="D58" s="18">
        <f>T58</f>
        <v>6271047</v>
      </c>
      <c r="F58" s="93" t="s">
        <v>23</v>
      </c>
      <c r="G58" s="93"/>
      <c r="H58" s="16">
        <v>552071</v>
      </c>
      <c r="I58" s="16">
        <v>505133</v>
      </c>
      <c r="J58" s="16">
        <v>521859</v>
      </c>
      <c r="K58" s="16">
        <v>559980</v>
      </c>
      <c r="L58" s="16">
        <v>593064</v>
      </c>
      <c r="M58" s="16">
        <v>455510</v>
      </c>
      <c r="N58" s="16">
        <v>615818</v>
      </c>
      <c r="O58" s="16">
        <v>483110</v>
      </c>
      <c r="P58" s="16">
        <v>485291</v>
      </c>
      <c r="Q58" s="16">
        <v>493455</v>
      </c>
      <c r="R58" s="16">
        <v>497426</v>
      </c>
      <c r="S58" s="16">
        <v>508330</v>
      </c>
      <c r="T58" s="19">
        <f>SUM(H58:S58)</f>
        <v>6271047</v>
      </c>
    </row>
    <row r="59" spans="1:20" x14ac:dyDescent="0.45">
      <c r="A59" s="88" t="s">
        <v>24</v>
      </c>
      <c r="B59" s="89"/>
      <c r="C59" s="90"/>
      <c r="D59" s="20">
        <f>ROUNDDOWN(D58/D57,2)</f>
        <v>29.86</v>
      </c>
      <c r="T59" s="11"/>
    </row>
    <row r="60" spans="1:20" x14ac:dyDescent="0.45">
      <c r="A60" s="21"/>
      <c r="T60" s="11"/>
    </row>
    <row r="61" spans="1:20" x14ac:dyDescent="0.45">
      <c r="A61" s="10" t="s">
        <v>25</v>
      </c>
      <c r="D61" s="11"/>
      <c r="F61" s="2" t="s">
        <v>6</v>
      </c>
      <c r="H61" s="12" t="s">
        <v>7</v>
      </c>
      <c r="I61" s="12" t="s">
        <v>8</v>
      </c>
      <c r="J61" s="12" t="s">
        <v>9</v>
      </c>
      <c r="K61" s="12" t="s">
        <v>10</v>
      </c>
      <c r="L61" s="12" t="s">
        <v>11</v>
      </c>
      <c r="M61" s="12" t="s">
        <v>12</v>
      </c>
      <c r="N61" s="12" t="s">
        <v>13</v>
      </c>
      <c r="O61" s="12" t="s">
        <v>14</v>
      </c>
      <c r="P61" s="12" t="s">
        <v>15</v>
      </c>
      <c r="Q61" s="12" t="s">
        <v>16</v>
      </c>
      <c r="R61" s="12" t="s">
        <v>17</v>
      </c>
      <c r="S61" s="13" t="s">
        <v>18</v>
      </c>
      <c r="T61" s="14" t="s">
        <v>19</v>
      </c>
    </row>
    <row r="62" spans="1:20" ht="18.600000000000001" thickBot="1" x14ac:dyDescent="0.5">
      <c r="A62" s="88" t="s">
        <v>20</v>
      </c>
      <c r="B62" s="89"/>
      <c r="C62" s="90"/>
      <c r="D62" s="15">
        <f>D57</f>
        <v>209961</v>
      </c>
      <c r="F62" s="91" t="s">
        <v>21</v>
      </c>
      <c r="G62" s="92"/>
      <c r="H62" s="22">
        <f>H57</f>
        <v>15692</v>
      </c>
      <c r="I62" s="22">
        <f t="shared" ref="I62:R62" si="8">I57</f>
        <v>14443</v>
      </c>
      <c r="J62" s="22">
        <f t="shared" si="8"/>
        <v>15976</v>
      </c>
      <c r="K62" s="22">
        <f t="shared" si="8"/>
        <v>19555</v>
      </c>
      <c r="L62" s="22">
        <f t="shared" si="8"/>
        <v>21431</v>
      </c>
      <c r="M62" s="22">
        <f t="shared" si="8"/>
        <v>14391</v>
      </c>
      <c r="N62" s="22">
        <f t="shared" si="8"/>
        <v>22621</v>
      </c>
      <c r="O62" s="22">
        <f t="shared" si="8"/>
        <v>16482</v>
      </c>
      <c r="P62" s="22">
        <f t="shared" si="8"/>
        <v>16802</v>
      </c>
      <c r="Q62" s="22">
        <f t="shared" si="8"/>
        <v>17273</v>
      </c>
      <c r="R62" s="22">
        <f t="shared" si="8"/>
        <v>17428</v>
      </c>
      <c r="S62" s="22">
        <f>S57</f>
        <v>17867</v>
      </c>
      <c r="T62" s="17">
        <f>T57</f>
        <v>209961</v>
      </c>
    </row>
    <row r="63" spans="1:20" ht="18.600000000000001" thickBot="1" x14ac:dyDescent="0.5">
      <c r="A63" s="94" t="s">
        <v>26</v>
      </c>
      <c r="B63" s="88" t="s">
        <v>27</v>
      </c>
      <c r="C63" s="90"/>
      <c r="D63" s="15">
        <f>T63</f>
        <v>0</v>
      </c>
      <c r="F63" s="96" t="s">
        <v>26</v>
      </c>
      <c r="G63" s="23" t="s">
        <v>28</v>
      </c>
      <c r="H63" s="24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6"/>
      <c r="T63" s="27">
        <f>SUM(H63:S63)</f>
        <v>0</v>
      </c>
    </row>
    <row r="64" spans="1:20" ht="18.600000000000001" thickBot="1" x14ac:dyDescent="0.5">
      <c r="A64" s="95"/>
      <c r="B64" s="88" t="s">
        <v>29</v>
      </c>
      <c r="C64" s="98"/>
      <c r="D64" s="28">
        <f>D18</f>
        <v>0</v>
      </c>
      <c r="F64" s="97"/>
      <c r="G64" s="23" t="s">
        <v>30</v>
      </c>
      <c r="H64" s="29">
        <f t="shared" ref="H64:S64" si="9">ROUNDDOWN(H63*$D$18,0)</f>
        <v>0</v>
      </c>
      <c r="I64" s="29">
        <f t="shared" si="9"/>
        <v>0</v>
      </c>
      <c r="J64" s="29">
        <f t="shared" si="9"/>
        <v>0</v>
      </c>
      <c r="K64" s="29">
        <f t="shared" si="9"/>
        <v>0</v>
      </c>
      <c r="L64" s="29">
        <f t="shared" si="9"/>
        <v>0</v>
      </c>
      <c r="M64" s="29">
        <f t="shared" si="9"/>
        <v>0</v>
      </c>
      <c r="N64" s="29">
        <f t="shared" si="9"/>
        <v>0</v>
      </c>
      <c r="O64" s="29">
        <f t="shared" si="9"/>
        <v>0</v>
      </c>
      <c r="P64" s="29">
        <f t="shared" si="9"/>
        <v>0</v>
      </c>
      <c r="Q64" s="29">
        <f t="shared" si="9"/>
        <v>0</v>
      </c>
      <c r="R64" s="29">
        <f t="shared" si="9"/>
        <v>0</v>
      </c>
      <c r="S64" s="29">
        <f t="shared" si="9"/>
        <v>0</v>
      </c>
      <c r="T64" s="19">
        <f>SUM(H64:S64)</f>
        <v>0</v>
      </c>
    </row>
    <row r="65" spans="1:20" x14ac:dyDescent="0.45">
      <c r="A65" s="93" t="s">
        <v>31</v>
      </c>
      <c r="B65" s="88" t="s">
        <v>32</v>
      </c>
      <c r="C65" s="90"/>
      <c r="D65" s="30">
        <f>D62-D63</f>
        <v>209961</v>
      </c>
      <c r="F65" s="100" t="s">
        <v>33</v>
      </c>
      <c r="G65" s="31" t="s">
        <v>34</v>
      </c>
      <c r="H65" s="32">
        <f t="shared" ref="H65:S65" si="10">H62-H63</f>
        <v>15692</v>
      </c>
      <c r="I65" s="32">
        <f t="shared" si="10"/>
        <v>14443</v>
      </c>
      <c r="J65" s="32">
        <f t="shared" si="10"/>
        <v>15976</v>
      </c>
      <c r="K65" s="32">
        <f t="shared" si="10"/>
        <v>19555</v>
      </c>
      <c r="L65" s="32">
        <f t="shared" si="10"/>
        <v>21431</v>
      </c>
      <c r="M65" s="32">
        <f t="shared" si="10"/>
        <v>14391</v>
      </c>
      <c r="N65" s="32">
        <f t="shared" si="10"/>
        <v>22621</v>
      </c>
      <c r="O65" s="32">
        <f t="shared" si="10"/>
        <v>16482</v>
      </c>
      <c r="P65" s="32">
        <f t="shared" si="10"/>
        <v>16802</v>
      </c>
      <c r="Q65" s="32">
        <f t="shared" si="10"/>
        <v>17273</v>
      </c>
      <c r="R65" s="32">
        <f t="shared" si="10"/>
        <v>17428</v>
      </c>
      <c r="S65" s="32">
        <f t="shared" si="10"/>
        <v>17867</v>
      </c>
      <c r="T65" s="17">
        <f>SUM(H65:S65)</f>
        <v>209961</v>
      </c>
    </row>
    <row r="66" spans="1:20" x14ac:dyDescent="0.45">
      <c r="A66" s="93"/>
      <c r="B66" s="88" t="s">
        <v>35</v>
      </c>
      <c r="C66" s="90"/>
      <c r="D66" s="20">
        <f>D59</f>
        <v>29.86</v>
      </c>
      <c r="F66" s="100"/>
      <c r="G66" s="23" t="s">
        <v>36</v>
      </c>
      <c r="H66" s="32">
        <f>H65*$D66</f>
        <v>468563.12</v>
      </c>
      <c r="I66" s="32">
        <f t="shared" ref="I66:S66" si="11">I65*$D66</f>
        <v>431267.98</v>
      </c>
      <c r="J66" s="32">
        <f t="shared" si="11"/>
        <v>477043.36</v>
      </c>
      <c r="K66" s="32">
        <f t="shared" si="11"/>
        <v>583912.30000000005</v>
      </c>
      <c r="L66" s="32">
        <f t="shared" si="11"/>
        <v>639929.66</v>
      </c>
      <c r="M66" s="32">
        <f t="shared" si="11"/>
        <v>429715.26</v>
      </c>
      <c r="N66" s="32">
        <f t="shared" si="11"/>
        <v>675463.05999999994</v>
      </c>
      <c r="O66" s="32">
        <f t="shared" si="11"/>
        <v>492152.52</v>
      </c>
      <c r="P66" s="32">
        <f t="shared" si="11"/>
        <v>501707.72</v>
      </c>
      <c r="Q66" s="32">
        <f t="shared" si="11"/>
        <v>515771.77999999997</v>
      </c>
      <c r="R66" s="32">
        <f t="shared" si="11"/>
        <v>520400.08</v>
      </c>
      <c r="S66" s="32">
        <f t="shared" si="11"/>
        <v>533508.62</v>
      </c>
      <c r="T66" s="19">
        <f>ROUNDDOWN(SUM(H66:S66),0)</f>
        <v>6269435</v>
      </c>
    </row>
    <row r="67" spans="1:20" x14ac:dyDescent="0.45">
      <c r="A67" s="93" t="s">
        <v>37</v>
      </c>
      <c r="B67" s="93"/>
      <c r="C67" s="93"/>
      <c r="D67" s="18">
        <f>T64+T66</f>
        <v>6269435</v>
      </c>
      <c r="G67" s="33"/>
      <c r="H67" s="33"/>
      <c r="I67" s="33"/>
      <c r="J67" s="33"/>
      <c r="K67" s="34"/>
      <c r="L67" s="34"/>
      <c r="M67" s="34"/>
      <c r="N67" s="34"/>
      <c r="O67" s="34"/>
      <c r="P67" s="34"/>
      <c r="Q67" s="34"/>
      <c r="R67" s="34"/>
      <c r="S67" s="34"/>
      <c r="T67" s="34"/>
    </row>
    <row r="68" spans="1:20" x14ac:dyDescent="0.45">
      <c r="G68" s="33"/>
      <c r="H68" s="33"/>
      <c r="I68" s="33"/>
      <c r="J68" s="33"/>
      <c r="K68" s="34"/>
      <c r="L68" s="34"/>
      <c r="M68" s="34"/>
      <c r="N68" s="34"/>
      <c r="O68" s="34"/>
      <c r="P68" s="34"/>
      <c r="Q68" s="34"/>
      <c r="R68" s="34"/>
      <c r="S68" s="34"/>
      <c r="T68" s="34"/>
    </row>
    <row r="69" spans="1:20" x14ac:dyDescent="0.45">
      <c r="A69" s="10" t="s">
        <v>38</v>
      </c>
      <c r="G69" s="33"/>
      <c r="H69" s="33"/>
      <c r="I69" s="33"/>
      <c r="J69" s="33"/>
      <c r="K69" s="34"/>
      <c r="L69" s="34"/>
      <c r="M69" s="34"/>
      <c r="N69" s="34"/>
      <c r="O69" s="34"/>
      <c r="P69" s="34"/>
      <c r="Q69" s="34"/>
      <c r="R69" s="34"/>
      <c r="S69" s="34"/>
      <c r="T69" s="34"/>
    </row>
    <row r="70" spans="1:20" x14ac:dyDescent="0.45">
      <c r="A70" s="101" t="s">
        <v>50</v>
      </c>
      <c r="B70" s="101"/>
      <c r="C70" s="101"/>
      <c r="D70" s="102">
        <f>D58-D67-1612</f>
        <v>0</v>
      </c>
      <c r="Q70" s="93" t="s">
        <v>39</v>
      </c>
      <c r="R70" s="93"/>
      <c r="S70" s="93"/>
      <c r="T70" s="35" t="s">
        <v>40</v>
      </c>
    </row>
    <row r="71" spans="1:20" x14ac:dyDescent="0.45">
      <c r="A71" s="101"/>
      <c r="B71" s="101"/>
      <c r="C71" s="101"/>
      <c r="D71" s="102"/>
      <c r="Q71" s="93" t="s">
        <v>41</v>
      </c>
      <c r="R71" s="93"/>
      <c r="S71" s="93"/>
      <c r="T71" s="36">
        <f>D63</f>
        <v>0</v>
      </c>
    </row>
    <row r="72" spans="1:20" x14ac:dyDescent="0.45">
      <c r="A72" s="101"/>
      <c r="B72" s="101"/>
      <c r="C72" s="101"/>
      <c r="D72" s="102"/>
      <c r="Q72" s="93" t="s">
        <v>42</v>
      </c>
      <c r="R72" s="93"/>
      <c r="S72" s="93"/>
      <c r="T72" s="37">
        <f>D63/D62*100</f>
        <v>0</v>
      </c>
    </row>
    <row r="73" spans="1:20" ht="18.600000000000001" thickBot="1" x14ac:dyDescent="0.5">
      <c r="A73" s="101"/>
      <c r="B73" s="101"/>
      <c r="C73" s="101"/>
      <c r="D73" s="103"/>
      <c r="Q73" s="93" t="s">
        <v>43</v>
      </c>
      <c r="R73" s="93"/>
      <c r="S73" s="93"/>
      <c r="T73" s="38">
        <f>T71*0.00036</f>
        <v>0</v>
      </c>
    </row>
    <row r="74" spans="1:20" ht="18.600000000000001" thickBot="1" x14ac:dyDescent="0.5">
      <c r="A74" s="94" t="s">
        <v>44</v>
      </c>
      <c r="B74" s="94"/>
      <c r="C74" s="91"/>
      <c r="D74" s="39"/>
      <c r="Q74" s="2" t="s">
        <v>68</v>
      </c>
    </row>
    <row r="75" spans="1:20" x14ac:dyDescent="0.45">
      <c r="A75" s="99" t="s">
        <v>45</v>
      </c>
      <c r="B75" s="99"/>
      <c r="C75" s="99"/>
      <c r="D75" s="40">
        <f>D58*20-(D67*D74+D58*(20-D74))-1612*D74</f>
        <v>0</v>
      </c>
    </row>
    <row r="78" spans="1:20" ht="18.600000000000001" x14ac:dyDescent="0.45">
      <c r="A78" s="8" t="s">
        <v>52</v>
      </c>
      <c r="B78" s="9"/>
      <c r="C78" s="9"/>
      <c r="D78" s="9"/>
    </row>
    <row r="79" spans="1:20" x14ac:dyDescent="0.45">
      <c r="A79" s="10" t="s">
        <v>67</v>
      </c>
      <c r="D79" s="11"/>
      <c r="F79" s="2" t="s">
        <v>6</v>
      </c>
      <c r="H79" s="12" t="s">
        <v>7</v>
      </c>
      <c r="I79" s="12" t="s">
        <v>8</v>
      </c>
      <c r="J79" s="12" t="s">
        <v>9</v>
      </c>
      <c r="K79" s="12" t="s">
        <v>10</v>
      </c>
      <c r="L79" s="12" t="s">
        <v>11</v>
      </c>
      <c r="M79" s="12" t="s">
        <v>12</v>
      </c>
      <c r="N79" s="12" t="s">
        <v>13</v>
      </c>
      <c r="O79" s="12" t="s">
        <v>14</v>
      </c>
      <c r="P79" s="12" t="s">
        <v>15</v>
      </c>
      <c r="Q79" s="12" t="s">
        <v>16</v>
      </c>
      <c r="R79" s="12" t="s">
        <v>17</v>
      </c>
      <c r="S79" s="13" t="s">
        <v>18</v>
      </c>
      <c r="T79" s="14" t="s">
        <v>19</v>
      </c>
    </row>
    <row r="80" spans="1:20" x14ac:dyDescent="0.45">
      <c r="A80" s="88" t="s">
        <v>20</v>
      </c>
      <c r="B80" s="89"/>
      <c r="C80" s="90"/>
      <c r="D80" s="15">
        <f>T80</f>
        <v>120687</v>
      </c>
      <c r="F80" s="91" t="s">
        <v>21</v>
      </c>
      <c r="G80" s="92"/>
      <c r="H80" s="16">
        <v>8671</v>
      </c>
      <c r="I80" s="16">
        <v>8176</v>
      </c>
      <c r="J80" s="16">
        <v>9364</v>
      </c>
      <c r="K80" s="16">
        <v>12381</v>
      </c>
      <c r="L80" s="16">
        <v>12520</v>
      </c>
      <c r="M80" s="16">
        <v>7420</v>
      </c>
      <c r="N80" s="16">
        <v>14142</v>
      </c>
      <c r="O80" s="16">
        <v>9552</v>
      </c>
      <c r="P80" s="16">
        <v>9520</v>
      </c>
      <c r="Q80" s="16">
        <v>8805</v>
      </c>
      <c r="R80" s="16">
        <v>10003</v>
      </c>
      <c r="S80" s="16">
        <v>10133</v>
      </c>
      <c r="T80" s="17">
        <f>SUM(H80:S80)</f>
        <v>120687</v>
      </c>
    </row>
    <row r="81" spans="1:20" x14ac:dyDescent="0.45">
      <c r="A81" s="93" t="s">
        <v>22</v>
      </c>
      <c r="B81" s="93"/>
      <c r="C81" s="93"/>
      <c r="D81" s="18">
        <f>T81</f>
        <v>3861080</v>
      </c>
      <c r="F81" s="93" t="s">
        <v>23</v>
      </c>
      <c r="G81" s="93"/>
      <c r="H81" s="16">
        <v>323514</v>
      </c>
      <c r="I81" s="16">
        <v>302924</v>
      </c>
      <c r="J81" s="16">
        <v>318389</v>
      </c>
      <c r="K81" s="16">
        <v>349764</v>
      </c>
      <c r="L81" s="16">
        <v>358607</v>
      </c>
      <c r="M81" s="16">
        <v>261603</v>
      </c>
      <c r="N81" s="16">
        <v>403847</v>
      </c>
      <c r="O81" s="16">
        <v>308255</v>
      </c>
      <c r="P81" s="16">
        <v>305909</v>
      </c>
      <c r="Q81" s="16">
        <v>294216</v>
      </c>
      <c r="R81" s="16">
        <v>314927</v>
      </c>
      <c r="S81" s="16">
        <v>319125</v>
      </c>
      <c r="T81" s="19">
        <f>SUM(H81:S81)</f>
        <v>3861080</v>
      </c>
    </row>
    <row r="82" spans="1:20" x14ac:dyDescent="0.45">
      <c r="A82" s="88" t="s">
        <v>24</v>
      </c>
      <c r="B82" s="89"/>
      <c r="C82" s="90"/>
      <c r="D82" s="20">
        <f>ROUNDDOWN(D81/D80,2)</f>
        <v>31.99</v>
      </c>
      <c r="T82" s="11"/>
    </row>
    <row r="83" spans="1:20" x14ac:dyDescent="0.45">
      <c r="A83" s="21"/>
      <c r="T83" s="11"/>
    </row>
    <row r="84" spans="1:20" x14ac:dyDescent="0.45">
      <c r="A84" s="10" t="s">
        <v>25</v>
      </c>
      <c r="D84" s="11"/>
      <c r="F84" s="2" t="s">
        <v>6</v>
      </c>
      <c r="H84" s="12" t="s">
        <v>7</v>
      </c>
      <c r="I84" s="12" t="s">
        <v>8</v>
      </c>
      <c r="J84" s="12" t="s">
        <v>9</v>
      </c>
      <c r="K84" s="12" t="s">
        <v>10</v>
      </c>
      <c r="L84" s="12" t="s">
        <v>11</v>
      </c>
      <c r="M84" s="12" t="s">
        <v>12</v>
      </c>
      <c r="N84" s="12" t="s">
        <v>13</v>
      </c>
      <c r="O84" s="12" t="s">
        <v>14</v>
      </c>
      <c r="P84" s="12" t="s">
        <v>15</v>
      </c>
      <c r="Q84" s="12" t="s">
        <v>16</v>
      </c>
      <c r="R84" s="12" t="s">
        <v>17</v>
      </c>
      <c r="S84" s="13" t="s">
        <v>18</v>
      </c>
      <c r="T84" s="14" t="s">
        <v>19</v>
      </c>
    </row>
    <row r="85" spans="1:20" ht="18.600000000000001" thickBot="1" x14ac:dyDescent="0.5">
      <c r="A85" s="88" t="s">
        <v>20</v>
      </c>
      <c r="B85" s="89"/>
      <c r="C85" s="90"/>
      <c r="D85" s="15">
        <f>D80</f>
        <v>120687</v>
      </c>
      <c r="F85" s="91" t="s">
        <v>21</v>
      </c>
      <c r="G85" s="92"/>
      <c r="H85" s="22">
        <f>H80</f>
        <v>8671</v>
      </c>
      <c r="I85" s="22">
        <f t="shared" ref="I85:R85" si="12">I80</f>
        <v>8176</v>
      </c>
      <c r="J85" s="22">
        <f t="shared" si="12"/>
        <v>9364</v>
      </c>
      <c r="K85" s="22">
        <f t="shared" si="12"/>
        <v>12381</v>
      </c>
      <c r="L85" s="22">
        <f t="shared" si="12"/>
        <v>12520</v>
      </c>
      <c r="M85" s="22">
        <f t="shared" si="12"/>
        <v>7420</v>
      </c>
      <c r="N85" s="22">
        <f t="shared" si="12"/>
        <v>14142</v>
      </c>
      <c r="O85" s="22">
        <f t="shared" si="12"/>
        <v>9552</v>
      </c>
      <c r="P85" s="22">
        <f t="shared" si="12"/>
        <v>9520</v>
      </c>
      <c r="Q85" s="22">
        <f t="shared" si="12"/>
        <v>8805</v>
      </c>
      <c r="R85" s="22">
        <f t="shared" si="12"/>
        <v>10003</v>
      </c>
      <c r="S85" s="22">
        <f>S80</f>
        <v>10133</v>
      </c>
      <c r="T85" s="17">
        <f>T80</f>
        <v>120687</v>
      </c>
    </row>
    <row r="86" spans="1:20" ht="18.600000000000001" thickBot="1" x14ac:dyDescent="0.5">
      <c r="A86" s="94" t="s">
        <v>26</v>
      </c>
      <c r="B86" s="88" t="s">
        <v>27</v>
      </c>
      <c r="C86" s="90"/>
      <c r="D86" s="15">
        <f>T86</f>
        <v>0</v>
      </c>
      <c r="F86" s="96" t="s">
        <v>26</v>
      </c>
      <c r="G86" s="23" t="s">
        <v>28</v>
      </c>
      <c r="H86" s="24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6"/>
      <c r="T86" s="27">
        <f>SUM(H86:S86)</f>
        <v>0</v>
      </c>
    </row>
    <row r="87" spans="1:20" ht="18.600000000000001" thickBot="1" x14ac:dyDescent="0.5">
      <c r="A87" s="95"/>
      <c r="B87" s="88" t="s">
        <v>29</v>
      </c>
      <c r="C87" s="98"/>
      <c r="D87" s="28">
        <f>D18</f>
        <v>0</v>
      </c>
      <c r="F87" s="97"/>
      <c r="G87" s="23" t="s">
        <v>30</v>
      </c>
      <c r="H87" s="29">
        <f t="shared" ref="H87:S87" si="13">ROUNDDOWN(H86*$D$18,0)</f>
        <v>0</v>
      </c>
      <c r="I87" s="29">
        <f t="shared" si="13"/>
        <v>0</v>
      </c>
      <c r="J87" s="29">
        <f t="shared" si="13"/>
        <v>0</v>
      </c>
      <c r="K87" s="29">
        <f t="shared" si="13"/>
        <v>0</v>
      </c>
      <c r="L87" s="29">
        <f t="shared" si="13"/>
        <v>0</v>
      </c>
      <c r="M87" s="29">
        <f t="shared" si="13"/>
        <v>0</v>
      </c>
      <c r="N87" s="29">
        <f t="shared" si="13"/>
        <v>0</v>
      </c>
      <c r="O87" s="29">
        <f t="shared" si="13"/>
        <v>0</v>
      </c>
      <c r="P87" s="29">
        <f t="shared" si="13"/>
        <v>0</v>
      </c>
      <c r="Q87" s="29">
        <f t="shared" si="13"/>
        <v>0</v>
      </c>
      <c r="R87" s="29">
        <f t="shared" si="13"/>
        <v>0</v>
      </c>
      <c r="S87" s="29">
        <f t="shared" si="13"/>
        <v>0</v>
      </c>
      <c r="T87" s="19">
        <f>SUM(H87:S87)</f>
        <v>0</v>
      </c>
    </row>
    <row r="88" spans="1:20" x14ac:dyDescent="0.45">
      <c r="A88" s="93" t="s">
        <v>31</v>
      </c>
      <c r="B88" s="88" t="s">
        <v>32</v>
      </c>
      <c r="C88" s="90"/>
      <c r="D88" s="30">
        <f>D85-D86</f>
        <v>120687</v>
      </c>
      <c r="F88" s="100" t="s">
        <v>33</v>
      </c>
      <c r="G88" s="31" t="s">
        <v>34</v>
      </c>
      <c r="H88" s="32">
        <f t="shared" ref="H88:S88" si="14">H85-H86</f>
        <v>8671</v>
      </c>
      <c r="I88" s="32">
        <f t="shared" si="14"/>
        <v>8176</v>
      </c>
      <c r="J88" s="32">
        <f t="shared" si="14"/>
        <v>9364</v>
      </c>
      <c r="K88" s="32">
        <f t="shared" si="14"/>
        <v>12381</v>
      </c>
      <c r="L88" s="32">
        <f t="shared" si="14"/>
        <v>12520</v>
      </c>
      <c r="M88" s="32">
        <f t="shared" si="14"/>
        <v>7420</v>
      </c>
      <c r="N88" s="32">
        <f t="shared" si="14"/>
        <v>14142</v>
      </c>
      <c r="O88" s="32">
        <f t="shared" si="14"/>
        <v>9552</v>
      </c>
      <c r="P88" s="32">
        <f t="shared" si="14"/>
        <v>9520</v>
      </c>
      <c r="Q88" s="32">
        <f t="shared" si="14"/>
        <v>8805</v>
      </c>
      <c r="R88" s="32">
        <f t="shared" si="14"/>
        <v>10003</v>
      </c>
      <c r="S88" s="32">
        <f t="shared" si="14"/>
        <v>10133</v>
      </c>
      <c r="T88" s="17">
        <f>SUM(H88:S88)</f>
        <v>120687</v>
      </c>
    </row>
    <row r="89" spans="1:20" x14ac:dyDescent="0.45">
      <c r="A89" s="93"/>
      <c r="B89" s="88" t="s">
        <v>35</v>
      </c>
      <c r="C89" s="90"/>
      <c r="D89" s="20">
        <f>D82</f>
        <v>31.99</v>
      </c>
      <c r="F89" s="100"/>
      <c r="G89" s="23" t="s">
        <v>36</v>
      </c>
      <c r="H89" s="32">
        <f>H88*$D89</f>
        <v>277385.28999999998</v>
      </c>
      <c r="I89" s="32">
        <f t="shared" ref="I89:S89" si="15">I88*$D89</f>
        <v>261550.24</v>
      </c>
      <c r="J89" s="32">
        <f t="shared" si="15"/>
        <v>299554.36</v>
      </c>
      <c r="K89" s="32">
        <f t="shared" si="15"/>
        <v>396068.19</v>
      </c>
      <c r="L89" s="32">
        <f t="shared" si="15"/>
        <v>400514.8</v>
      </c>
      <c r="M89" s="32">
        <f t="shared" si="15"/>
        <v>237365.8</v>
      </c>
      <c r="N89" s="32">
        <f t="shared" si="15"/>
        <v>452402.57999999996</v>
      </c>
      <c r="O89" s="32">
        <f t="shared" si="15"/>
        <v>305568.48</v>
      </c>
      <c r="P89" s="32">
        <f t="shared" si="15"/>
        <v>304544.8</v>
      </c>
      <c r="Q89" s="32">
        <f t="shared" si="15"/>
        <v>281671.95</v>
      </c>
      <c r="R89" s="32">
        <f t="shared" si="15"/>
        <v>319995.96999999997</v>
      </c>
      <c r="S89" s="32">
        <f t="shared" si="15"/>
        <v>324154.67</v>
      </c>
      <c r="T89" s="19">
        <f>ROUNDDOWN(SUM(H89:S89),0)</f>
        <v>3860777</v>
      </c>
    </row>
    <row r="90" spans="1:20" x14ac:dyDescent="0.45">
      <c r="A90" s="93" t="s">
        <v>37</v>
      </c>
      <c r="B90" s="93"/>
      <c r="C90" s="93"/>
      <c r="D90" s="18">
        <f>T87+T89</f>
        <v>3860777</v>
      </c>
      <c r="G90" s="33"/>
      <c r="H90" s="33"/>
      <c r="I90" s="33"/>
      <c r="J90" s="33"/>
      <c r="K90" s="34"/>
      <c r="L90" s="34"/>
      <c r="M90" s="34"/>
      <c r="N90" s="34"/>
      <c r="O90" s="34"/>
      <c r="P90" s="34"/>
      <c r="Q90" s="34"/>
      <c r="R90" s="34"/>
      <c r="S90" s="34"/>
      <c r="T90" s="34"/>
    </row>
    <row r="91" spans="1:20" x14ac:dyDescent="0.45">
      <c r="G91" s="33"/>
      <c r="H91" s="33"/>
      <c r="I91" s="33"/>
      <c r="J91" s="33"/>
      <c r="K91" s="34"/>
      <c r="L91" s="34"/>
      <c r="M91" s="34"/>
      <c r="N91" s="34"/>
      <c r="O91" s="34"/>
      <c r="P91" s="34"/>
      <c r="Q91" s="34"/>
      <c r="R91" s="34"/>
      <c r="S91" s="34"/>
      <c r="T91" s="34"/>
    </row>
    <row r="92" spans="1:20" x14ac:dyDescent="0.45">
      <c r="A92" s="10" t="s">
        <v>38</v>
      </c>
      <c r="G92" s="33"/>
      <c r="H92" s="33"/>
      <c r="I92" s="33"/>
      <c r="J92" s="33"/>
      <c r="K92" s="34"/>
      <c r="L92" s="34"/>
      <c r="M92" s="34"/>
      <c r="N92" s="34"/>
      <c r="O92" s="34"/>
      <c r="P92" s="34"/>
      <c r="Q92" s="34"/>
      <c r="R92" s="34"/>
      <c r="S92" s="34"/>
      <c r="T92" s="34"/>
    </row>
    <row r="93" spans="1:20" x14ac:dyDescent="0.45">
      <c r="A93" s="101" t="s">
        <v>53</v>
      </c>
      <c r="B93" s="101"/>
      <c r="C93" s="101"/>
      <c r="D93" s="102">
        <f>D81-D90-303</f>
        <v>0</v>
      </c>
      <c r="Q93" s="93" t="s">
        <v>39</v>
      </c>
      <c r="R93" s="93"/>
      <c r="S93" s="93"/>
      <c r="T93" s="35" t="s">
        <v>40</v>
      </c>
    </row>
    <row r="94" spans="1:20" x14ac:dyDescent="0.45">
      <c r="A94" s="101"/>
      <c r="B94" s="101"/>
      <c r="C94" s="101"/>
      <c r="D94" s="102"/>
      <c r="Q94" s="93" t="s">
        <v>41</v>
      </c>
      <c r="R94" s="93"/>
      <c r="S94" s="93"/>
      <c r="T94" s="36">
        <f>D86</f>
        <v>0</v>
      </c>
    </row>
    <row r="95" spans="1:20" x14ac:dyDescent="0.45">
      <c r="A95" s="101"/>
      <c r="B95" s="101"/>
      <c r="C95" s="101"/>
      <c r="D95" s="102"/>
      <c r="Q95" s="93" t="s">
        <v>42</v>
      </c>
      <c r="R95" s="93"/>
      <c r="S95" s="93"/>
      <c r="T95" s="37">
        <f>D86/D85*100</f>
        <v>0</v>
      </c>
    </row>
    <row r="96" spans="1:20" ht="18.600000000000001" thickBot="1" x14ac:dyDescent="0.5">
      <c r="A96" s="101"/>
      <c r="B96" s="101"/>
      <c r="C96" s="101"/>
      <c r="D96" s="103"/>
      <c r="Q96" s="93" t="s">
        <v>43</v>
      </c>
      <c r="R96" s="93"/>
      <c r="S96" s="93"/>
      <c r="T96" s="38">
        <f>T94*0.00036</f>
        <v>0</v>
      </c>
    </row>
    <row r="97" spans="1:20" ht="18.600000000000001" thickBot="1" x14ac:dyDescent="0.5">
      <c r="A97" s="94" t="s">
        <v>44</v>
      </c>
      <c r="B97" s="94"/>
      <c r="C97" s="91"/>
      <c r="D97" s="39"/>
      <c r="Q97" s="2" t="s">
        <v>68</v>
      </c>
    </row>
    <row r="98" spans="1:20" x14ac:dyDescent="0.45">
      <c r="A98" s="99" t="s">
        <v>45</v>
      </c>
      <c r="B98" s="99"/>
      <c r="C98" s="99"/>
      <c r="D98" s="40">
        <f>D81*20-(D90*D97+D81*(20-D97))-303*D97</f>
        <v>0</v>
      </c>
    </row>
    <row r="101" spans="1:20" ht="18.600000000000001" x14ac:dyDescent="0.45">
      <c r="A101" s="8" t="s">
        <v>54</v>
      </c>
      <c r="B101" s="9"/>
      <c r="C101" s="9"/>
      <c r="D101" s="9"/>
    </row>
    <row r="102" spans="1:20" x14ac:dyDescent="0.45">
      <c r="A102" s="10" t="s">
        <v>67</v>
      </c>
      <c r="D102" s="11"/>
      <c r="F102" s="2" t="s">
        <v>6</v>
      </c>
      <c r="H102" s="12" t="s">
        <v>7</v>
      </c>
      <c r="I102" s="12" t="s">
        <v>8</v>
      </c>
      <c r="J102" s="12" t="s">
        <v>9</v>
      </c>
      <c r="K102" s="12" t="s">
        <v>10</v>
      </c>
      <c r="L102" s="12" t="s">
        <v>11</v>
      </c>
      <c r="M102" s="12" t="s">
        <v>12</v>
      </c>
      <c r="N102" s="12" t="s">
        <v>13</v>
      </c>
      <c r="O102" s="12" t="s">
        <v>14</v>
      </c>
      <c r="P102" s="12" t="s">
        <v>15</v>
      </c>
      <c r="Q102" s="12" t="s">
        <v>16</v>
      </c>
      <c r="R102" s="12" t="s">
        <v>17</v>
      </c>
      <c r="S102" s="13" t="s">
        <v>18</v>
      </c>
      <c r="T102" s="14" t="s">
        <v>19</v>
      </c>
    </row>
    <row r="103" spans="1:20" x14ac:dyDescent="0.45">
      <c r="A103" s="88" t="s">
        <v>20</v>
      </c>
      <c r="B103" s="89"/>
      <c r="C103" s="90"/>
      <c r="D103" s="15">
        <f>T103</f>
        <v>148458</v>
      </c>
      <c r="F103" s="91" t="s">
        <v>21</v>
      </c>
      <c r="G103" s="92"/>
      <c r="H103" s="16">
        <v>9510</v>
      </c>
      <c r="I103" s="16">
        <v>8602</v>
      </c>
      <c r="J103" s="16">
        <v>9683</v>
      </c>
      <c r="K103" s="16">
        <v>13707</v>
      </c>
      <c r="L103" s="16">
        <v>15119</v>
      </c>
      <c r="M103" s="16">
        <v>8302</v>
      </c>
      <c r="N103" s="16">
        <v>19476</v>
      </c>
      <c r="O103" s="16">
        <v>12321</v>
      </c>
      <c r="P103" s="16">
        <v>11733</v>
      </c>
      <c r="Q103" s="16">
        <v>11482</v>
      </c>
      <c r="R103" s="16">
        <v>14313</v>
      </c>
      <c r="S103" s="16">
        <v>14210</v>
      </c>
      <c r="T103" s="17">
        <f>SUM(H103:S103)</f>
        <v>148458</v>
      </c>
    </row>
    <row r="104" spans="1:20" x14ac:dyDescent="0.45">
      <c r="A104" s="93" t="s">
        <v>22</v>
      </c>
      <c r="B104" s="93"/>
      <c r="C104" s="93"/>
      <c r="D104" s="18">
        <f>T104</f>
        <v>5126599</v>
      </c>
      <c r="F104" s="93" t="s">
        <v>23</v>
      </c>
      <c r="G104" s="93"/>
      <c r="H104" s="16">
        <v>384058</v>
      </c>
      <c r="I104" s="16">
        <v>356757</v>
      </c>
      <c r="J104" s="16">
        <v>369865</v>
      </c>
      <c r="K104" s="16">
        <v>431801</v>
      </c>
      <c r="L104" s="16">
        <v>456713</v>
      </c>
      <c r="M104" s="16">
        <v>328474</v>
      </c>
      <c r="N104" s="16">
        <v>581644</v>
      </c>
      <c r="O104" s="16">
        <v>435998</v>
      </c>
      <c r="P104" s="16">
        <v>423896</v>
      </c>
      <c r="Q104" s="16">
        <v>419959</v>
      </c>
      <c r="R104" s="16">
        <v>468156</v>
      </c>
      <c r="S104" s="16">
        <v>469278</v>
      </c>
      <c r="T104" s="19">
        <f>SUM(H104:S104)</f>
        <v>5126599</v>
      </c>
    </row>
    <row r="105" spans="1:20" x14ac:dyDescent="0.45">
      <c r="A105" s="88" t="s">
        <v>24</v>
      </c>
      <c r="B105" s="89"/>
      <c r="C105" s="90"/>
      <c r="D105" s="20">
        <f>ROUNDDOWN(D104/D103,2)</f>
        <v>34.53</v>
      </c>
      <c r="T105" s="11"/>
    </row>
    <row r="106" spans="1:20" x14ac:dyDescent="0.45">
      <c r="A106" s="21"/>
      <c r="T106" s="11"/>
    </row>
    <row r="107" spans="1:20" x14ac:dyDescent="0.45">
      <c r="A107" s="10" t="s">
        <v>25</v>
      </c>
      <c r="D107" s="11"/>
      <c r="F107" s="2" t="s">
        <v>6</v>
      </c>
      <c r="H107" s="12" t="s">
        <v>7</v>
      </c>
      <c r="I107" s="12" t="s">
        <v>8</v>
      </c>
      <c r="J107" s="12" t="s">
        <v>9</v>
      </c>
      <c r="K107" s="12" t="s">
        <v>10</v>
      </c>
      <c r="L107" s="12" t="s">
        <v>11</v>
      </c>
      <c r="M107" s="12" t="s">
        <v>12</v>
      </c>
      <c r="N107" s="12" t="s">
        <v>13</v>
      </c>
      <c r="O107" s="12" t="s">
        <v>14</v>
      </c>
      <c r="P107" s="12" t="s">
        <v>15</v>
      </c>
      <c r="Q107" s="12" t="s">
        <v>16</v>
      </c>
      <c r="R107" s="12" t="s">
        <v>17</v>
      </c>
      <c r="S107" s="13" t="s">
        <v>18</v>
      </c>
      <c r="T107" s="14" t="s">
        <v>19</v>
      </c>
    </row>
    <row r="108" spans="1:20" ht="18.600000000000001" thickBot="1" x14ac:dyDescent="0.5">
      <c r="A108" s="88" t="s">
        <v>20</v>
      </c>
      <c r="B108" s="89"/>
      <c r="C108" s="90"/>
      <c r="D108" s="15">
        <f>D103</f>
        <v>148458</v>
      </c>
      <c r="F108" s="91" t="s">
        <v>21</v>
      </c>
      <c r="G108" s="92"/>
      <c r="H108" s="22">
        <f>H103</f>
        <v>9510</v>
      </c>
      <c r="I108" s="22">
        <f t="shared" ref="I108:R108" si="16">I103</f>
        <v>8602</v>
      </c>
      <c r="J108" s="22">
        <f t="shared" si="16"/>
        <v>9683</v>
      </c>
      <c r="K108" s="22">
        <f t="shared" si="16"/>
        <v>13707</v>
      </c>
      <c r="L108" s="22">
        <f t="shared" si="16"/>
        <v>15119</v>
      </c>
      <c r="M108" s="22">
        <f t="shared" si="16"/>
        <v>8302</v>
      </c>
      <c r="N108" s="22">
        <f t="shared" si="16"/>
        <v>19476</v>
      </c>
      <c r="O108" s="22">
        <f t="shared" si="16"/>
        <v>12321</v>
      </c>
      <c r="P108" s="22">
        <f t="shared" si="16"/>
        <v>11733</v>
      </c>
      <c r="Q108" s="22">
        <f t="shared" si="16"/>
        <v>11482</v>
      </c>
      <c r="R108" s="22">
        <f t="shared" si="16"/>
        <v>14313</v>
      </c>
      <c r="S108" s="22">
        <f>S103</f>
        <v>14210</v>
      </c>
      <c r="T108" s="17">
        <f>T103</f>
        <v>148458</v>
      </c>
    </row>
    <row r="109" spans="1:20" ht="18.600000000000001" thickBot="1" x14ac:dyDescent="0.5">
      <c r="A109" s="94" t="s">
        <v>26</v>
      </c>
      <c r="B109" s="88" t="s">
        <v>27</v>
      </c>
      <c r="C109" s="90"/>
      <c r="D109" s="15">
        <f>T109</f>
        <v>0</v>
      </c>
      <c r="F109" s="96" t="s">
        <v>26</v>
      </c>
      <c r="G109" s="23" t="s">
        <v>28</v>
      </c>
      <c r="H109" s="24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6"/>
      <c r="T109" s="27">
        <f>SUM(H109:S109)</f>
        <v>0</v>
      </c>
    </row>
    <row r="110" spans="1:20" ht="18.600000000000001" thickBot="1" x14ac:dyDescent="0.5">
      <c r="A110" s="95"/>
      <c r="B110" s="88" t="s">
        <v>29</v>
      </c>
      <c r="C110" s="98"/>
      <c r="D110" s="28">
        <f>D18</f>
        <v>0</v>
      </c>
      <c r="F110" s="97"/>
      <c r="G110" s="23" t="s">
        <v>30</v>
      </c>
      <c r="H110" s="29">
        <f t="shared" ref="H110:S110" si="17">ROUNDDOWN(H109*$D$18,0)</f>
        <v>0</v>
      </c>
      <c r="I110" s="29">
        <f t="shared" si="17"/>
        <v>0</v>
      </c>
      <c r="J110" s="29">
        <f t="shared" si="17"/>
        <v>0</v>
      </c>
      <c r="K110" s="29">
        <f t="shared" si="17"/>
        <v>0</v>
      </c>
      <c r="L110" s="29">
        <f t="shared" si="17"/>
        <v>0</v>
      </c>
      <c r="M110" s="29">
        <f t="shared" si="17"/>
        <v>0</v>
      </c>
      <c r="N110" s="29">
        <f t="shared" si="17"/>
        <v>0</v>
      </c>
      <c r="O110" s="29">
        <f t="shared" si="17"/>
        <v>0</v>
      </c>
      <c r="P110" s="29">
        <f t="shared" si="17"/>
        <v>0</v>
      </c>
      <c r="Q110" s="29">
        <f t="shared" si="17"/>
        <v>0</v>
      </c>
      <c r="R110" s="29">
        <f t="shared" si="17"/>
        <v>0</v>
      </c>
      <c r="S110" s="29">
        <f t="shared" si="17"/>
        <v>0</v>
      </c>
      <c r="T110" s="19">
        <f>SUM(H110:S110)</f>
        <v>0</v>
      </c>
    </row>
    <row r="111" spans="1:20" x14ac:dyDescent="0.45">
      <c r="A111" s="93" t="s">
        <v>31</v>
      </c>
      <c r="B111" s="88" t="s">
        <v>32</v>
      </c>
      <c r="C111" s="90"/>
      <c r="D111" s="30">
        <f>D108-D109</f>
        <v>148458</v>
      </c>
      <c r="F111" s="100" t="s">
        <v>33</v>
      </c>
      <c r="G111" s="31" t="s">
        <v>34</v>
      </c>
      <c r="H111" s="32">
        <f t="shared" ref="H111:S111" si="18">H108-H109</f>
        <v>9510</v>
      </c>
      <c r="I111" s="32">
        <f t="shared" si="18"/>
        <v>8602</v>
      </c>
      <c r="J111" s="32">
        <f t="shared" si="18"/>
        <v>9683</v>
      </c>
      <c r="K111" s="32">
        <f t="shared" si="18"/>
        <v>13707</v>
      </c>
      <c r="L111" s="32">
        <f t="shared" si="18"/>
        <v>15119</v>
      </c>
      <c r="M111" s="32">
        <f t="shared" si="18"/>
        <v>8302</v>
      </c>
      <c r="N111" s="32">
        <f t="shared" si="18"/>
        <v>19476</v>
      </c>
      <c r="O111" s="32">
        <f t="shared" si="18"/>
        <v>12321</v>
      </c>
      <c r="P111" s="32">
        <f t="shared" si="18"/>
        <v>11733</v>
      </c>
      <c r="Q111" s="32">
        <f t="shared" si="18"/>
        <v>11482</v>
      </c>
      <c r="R111" s="32">
        <f t="shared" si="18"/>
        <v>14313</v>
      </c>
      <c r="S111" s="32">
        <f t="shared" si="18"/>
        <v>14210</v>
      </c>
      <c r="T111" s="17">
        <f>SUM(H111:S111)</f>
        <v>148458</v>
      </c>
    </row>
    <row r="112" spans="1:20" x14ac:dyDescent="0.45">
      <c r="A112" s="93"/>
      <c r="B112" s="88" t="s">
        <v>35</v>
      </c>
      <c r="C112" s="90"/>
      <c r="D112" s="20">
        <f>D105</f>
        <v>34.53</v>
      </c>
      <c r="F112" s="100"/>
      <c r="G112" s="23" t="s">
        <v>36</v>
      </c>
      <c r="H112" s="32">
        <f>H111*$D112</f>
        <v>328380.3</v>
      </c>
      <c r="I112" s="32">
        <f t="shared" ref="I112:S112" si="19">I111*$D112</f>
        <v>297027.06</v>
      </c>
      <c r="J112" s="32">
        <f t="shared" si="19"/>
        <v>334353.99</v>
      </c>
      <c r="K112" s="32">
        <f t="shared" si="19"/>
        <v>473302.71</v>
      </c>
      <c r="L112" s="32">
        <f t="shared" si="19"/>
        <v>522059.07</v>
      </c>
      <c r="M112" s="32">
        <f t="shared" si="19"/>
        <v>286668.06</v>
      </c>
      <c r="N112" s="32">
        <f t="shared" si="19"/>
        <v>672506.28</v>
      </c>
      <c r="O112" s="32">
        <f t="shared" si="19"/>
        <v>425444.13</v>
      </c>
      <c r="P112" s="32">
        <f t="shared" si="19"/>
        <v>405140.49</v>
      </c>
      <c r="Q112" s="32">
        <f t="shared" si="19"/>
        <v>396473.46</v>
      </c>
      <c r="R112" s="32">
        <f t="shared" si="19"/>
        <v>494227.89</v>
      </c>
      <c r="S112" s="32">
        <f t="shared" si="19"/>
        <v>490671.3</v>
      </c>
      <c r="T112" s="19">
        <f>ROUNDDOWN(SUM(H112:S112),0)</f>
        <v>5126254</v>
      </c>
    </row>
    <row r="113" spans="1:20" x14ac:dyDescent="0.45">
      <c r="A113" s="93" t="s">
        <v>37</v>
      </c>
      <c r="B113" s="93"/>
      <c r="C113" s="93"/>
      <c r="D113" s="18">
        <f>T110+T112</f>
        <v>5126254</v>
      </c>
      <c r="G113" s="33"/>
      <c r="H113" s="33"/>
      <c r="I113" s="33"/>
      <c r="J113" s="33"/>
      <c r="K113" s="34"/>
      <c r="L113" s="34"/>
      <c r="M113" s="34"/>
      <c r="N113" s="34"/>
      <c r="O113" s="34"/>
      <c r="P113" s="34"/>
      <c r="Q113" s="34"/>
      <c r="R113" s="34"/>
      <c r="S113" s="34"/>
      <c r="T113" s="34"/>
    </row>
    <row r="114" spans="1:20" x14ac:dyDescent="0.45">
      <c r="G114" s="33"/>
      <c r="H114" s="33"/>
      <c r="I114" s="33"/>
      <c r="J114" s="33"/>
      <c r="K114" s="34"/>
      <c r="L114" s="34"/>
      <c r="M114" s="34"/>
      <c r="N114" s="34"/>
      <c r="O114" s="34"/>
      <c r="P114" s="34"/>
      <c r="Q114" s="34"/>
      <c r="R114" s="34"/>
      <c r="S114" s="34"/>
      <c r="T114" s="34"/>
    </row>
    <row r="115" spans="1:20" x14ac:dyDescent="0.45">
      <c r="A115" s="10" t="s">
        <v>38</v>
      </c>
      <c r="G115" s="33"/>
      <c r="H115" s="33"/>
      <c r="I115" s="33"/>
      <c r="J115" s="33"/>
      <c r="K115" s="34"/>
      <c r="L115" s="34"/>
      <c r="M115" s="34"/>
      <c r="N115" s="34"/>
      <c r="O115" s="34"/>
      <c r="P115" s="34"/>
      <c r="Q115" s="34"/>
      <c r="R115" s="34"/>
      <c r="S115" s="34"/>
      <c r="T115" s="34"/>
    </row>
    <row r="116" spans="1:20" x14ac:dyDescent="0.45">
      <c r="A116" s="101" t="s">
        <v>55</v>
      </c>
      <c r="B116" s="101"/>
      <c r="C116" s="101"/>
      <c r="D116" s="102">
        <f>D104-D113-345</f>
        <v>0</v>
      </c>
      <c r="Q116" s="93" t="s">
        <v>39</v>
      </c>
      <c r="R116" s="93"/>
      <c r="S116" s="93"/>
      <c r="T116" s="35" t="s">
        <v>40</v>
      </c>
    </row>
    <row r="117" spans="1:20" x14ac:dyDescent="0.45">
      <c r="A117" s="101"/>
      <c r="B117" s="101"/>
      <c r="C117" s="101"/>
      <c r="D117" s="102"/>
      <c r="Q117" s="93" t="s">
        <v>41</v>
      </c>
      <c r="R117" s="93"/>
      <c r="S117" s="93"/>
      <c r="T117" s="36">
        <f>D109</f>
        <v>0</v>
      </c>
    </row>
    <row r="118" spans="1:20" x14ac:dyDescent="0.45">
      <c r="A118" s="101"/>
      <c r="B118" s="101"/>
      <c r="C118" s="101"/>
      <c r="D118" s="102"/>
      <c r="Q118" s="93" t="s">
        <v>42</v>
      </c>
      <c r="R118" s="93"/>
      <c r="S118" s="93"/>
      <c r="T118" s="37">
        <f>D109/D108*100</f>
        <v>0</v>
      </c>
    </row>
    <row r="119" spans="1:20" ht="18.600000000000001" thickBot="1" x14ac:dyDescent="0.5">
      <c r="A119" s="101"/>
      <c r="B119" s="101"/>
      <c r="C119" s="101"/>
      <c r="D119" s="103"/>
      <c r="Q119" s="93" t="s">
        <v>43</v>
      </c>
      <c r="R119" s="93"/>
      <c r="S119" s="93"/>
      <c r="T119" s="38">
        <f>T117*0.00036</f>
        <v>0</v>
      </c>
    </row>
    <row r="120" spans="1:20" ht="18.600000000000001" thickBot="1" x14ac:dyDescent="0.5">
      <c r="A120" s="94" t="s">
        <v>44</v>
      </c>
      <c r="B120" s="94"/>
      <c r="C120" s="91"/>
      <c r="D120" s="39"/>
      <c r="Q120" s="2" t="s">
        <v>68</v>
      </c>
    </row>
    <row r="121" spans="1:20" x14ac:dyDescent="0.45">
      <c r="A121" s="99" t="s">
        <v>45</v>
      </c>
      <c r="B121" s="99"/>
      <c r="C121" s="99"/>
      <c r="D121" s="40">
        <f>D104*20-(D113*D120+D104*(20-D120))-345*D120</f>
        <v>0</v>
      </c>
    </row>
    <row r="124" spans="1:20" ht="18.600000000000001" x14ac:dyDescent="0.45">
      <c r="A124" s="8" t="s">
        <v>56</v>
      </c>
      <c r="B124" s="9"/>
      <c r="C124" s="9"/>
      <c r="D124" s="9"/>
    </row>
    <row r="125" spans="1:20" x14ac:dyDescent="0.45">
      <c r="A125" s="10" t="s">
        <v>67</v>
      </c>
      <c r="D125" s="11"/>
      <c r="F125" s="2" t="s">
        <v>6</v>
      </c>
      <c r="H125" s="12" t="s">
        <v>7</v>
      </c>
      <c r="I125" s="12" t="s">
        <v>8</v>
      </c>
      <c r="J125" s="12" t="s">
        <v>9</v>
      </c>
      <c r="K125" s="12" t="s">
        <v>10</v>
      </c>
      <c r="L125" s="12" t="s">
        <v>11</v>
      </c>
      <c r="M125" s="12" t="s">
        <v>12</v>
      </c>
      <c r="N125" s="12" t="s">
        <v>13</v>
      </c>
      <c r="O125" s="12" t="s">
        <v>14</v>
      </c>
      <c r="P125" s="12" t="s">
        <v>15</v>
      </c>
      <c r="Q125" s="12" t="s">
        <v>16</v>
      </c>
      <c r="R125" s="12" t="s">
        <v>17</v>
      </c>
      <c r="S125" s="13" t="s">
        <v>18</v>
      </c>
      <c r="T125" s="14" t="s">
        <v>19</v>
      </c>
    </row>
    <row r="126" spans="1:20" x14ac:dyDescent="0.45">
      <c r="A126" s="88" t="s">
        <v>20</v>
      </c>
      <c r="B126" s="89"/>
      <c r="C126" s="90"/>
      <c r="D126" s="15">
        <f>T126</f>
        <v>189816</v>
      </c>
      <c r="F126" s="91" t="s">
        <v>21</v>
      </c>
      <c r="G126" s="92"/>
      <c r="H126" s="16">
        <v>13263</v>
      </c>
      <c r="I126" s="16">
        <v>12627</v>
      </c>
      <c r="J126" s="16">
        <v>15472</v>
      </c>
      <c r="K126" s="16">
        <v>21908</v>
      </c>
      <c r="L126" s="16">
        <v>20578</v>
      </c>
      <c r="M126" s="16">
        <v>9523</v>
      </c>
      <c r="N126" s="16">
        <v>21927</v>
      </c>
      <c r="O126" s="16">
        <v>14702</v>
      </c>
      <c r="P126" s="16">
        <v>14580</v>
      </c>
      <c r="Q126" s="16">
        <v>14171</v>
      </c>
      <c r="R126" s="16">
        <v>15175</v>
      </c>
      <c r="S126" s="16">
        <v>15890</v>
      </c>
      <c r="T126" s="17">
        <f>SUM(H126:S126)</f>
        <v>189816</v>
      </c>
    </row>
    <row r="127" spans="1:20" x14ac:dyDescent="0.45">
      <c r="A127" s="93" t="s">
        <v>22</v>
      </c>
      <c r="B127" s="93"/>
      <c r="C127" s="93"/>
      <c r="D127" s="18">
        <f>T127</f>
        <v>6167226</v>
      </c>
      <c r="F127" s="93" t="s">
        <v>23</v>
      </c>
      <c r="G127" s="93"/>
      <c r="H127" s="16">
        <v>514946</v>
      </c>
      <c r="I127" s="16">
        <v>487487</v>
      </c>
      <c r="J127" s="16">
        <v>530294</v>
      </c>
      <c r="K127" s="16">
        <v>629371</v>
      </c>
      <c r="L127" s="16">
        <v>605557</v>
      </c>
      <c r="M127" s="16">
        <v>401062</v>
      </c>
      <c r="N127" s="16">
        <v>622757</v>
      </c>
      <c r="O127" s="16">
        <v>472724</v>
      </c>
      <c r="P127" s="16">
        <v>467907</v>
      </c>
      <c r="Q127" s="16">
        <v>461400</v>
      </c>
      <c r="R127" s="16">
        <v>479301</v>
      </c>
      <c r="S127" s="16">
        <v>494420</v>
      </c>
      <c r="T127" s="19">
        <f>SUM(H127:S127)</f>
        <v>6167226</v>
      </c>
    </row>
    <row r="128" spans="1:20" x14ac:dyDescent="0.45">
      <c r="A128" s="88" t="s">
        <v>24</v>
      </c>
      <c r="B128" s="89"/>
      <c r="C128" s="90"/>
      <c r="D128" s="20">
        <f>ROUNDDOWN(D127/D126,2)</f>
        <v>32.49</v>
      </c>
      <c r="T128" s="11"/>
    </row>
    <row r="129" spans="1:20" x14ac:dyDescent="0.45">
      <c r="A129" s="21"/>
      <c r="T129" s="11"/>
    </row>
    <row r="130" spans="1:20" x14ac:dyDescent="0.45">
      <c r="A130" s="10" t="s">
        <v>25</v>
      </c>
      <c r="D130" s="11"/>
      <c r="F130" s="2" t="s">
        <v>6</v>
      </c>
      <c r="H130" s="12" t="s">
        <v>7</v>
      </c>
      <c r="I130" s="12" t="s">
        <v>8</v>
      </c>
      <c r="J130" s="12" t="s">
        <v>9</v>
      </c>
      <c r="K130" s="12" t="s">
        <v>10</v>
      </c>
      <c r="L130" s="12" t="s">
        <v>11</v>
      </c>
      <c r="M130" s="12" t="s">
        <v>12</v>
      </c>
      <c r="N130" s="12" t="s">
        <v>13</v>
      </c>
      <c r="O130" s="12" t="s">
        <v>14</v>
      </c>
      <c r="P130" s="12" t="s">
        <v>15</v>
      </c>
      <c r="Q130" s="12" t="s">
        <v>16</v>
      </c>
      <c r="R130" s="12" t="s">
        <v>17</v>
      </c>
      <c r="S130" s="13" t="s">
        <v>18</v>
      </c>
      <c r="T130" s="14" t="s">
        <v>19</v>
      </c>
    </row>
    <row r="131" spans="1:20" ht="18.600000000000001" thickBot="1" x14ac:dyDescent="0.5">
      <c r="A131" s="88" t="s">
        <v>20</v>
      </c>
      <c r="B131" s="89"/>
      <c r="C131" s="90"/>
      <c r="D131" s="15">
        <f>D126</f>
        <v>189816</v>
      </c>
      <c r="F131" s="91" t="s">
        <v>21</v>
      </c>
      <c r="G131" s="92"/>
      <c r="H131" s="22">
        <f>H126</f>
        <v>13263</v>
      </c>
      <c r="I131" s="22">
        <f t="shared" ref="I131:R131" si="20">I126</f>
        <v>12627</v>
      </c>
      <c r="J131" s="22">
        <f t="shared" si="20"/>
        <v>15472</v>
      </c>
      <c r="K131" s="22">
        <f t="shared" si="20"/>
        <v>21908</v>
      </c>
      <c r="L131" s="22">
        <f t="shared" si="20"/>
        <v>20578</v>
      </c>
      <c r="M131" s="22">
        <f t="shared" si="20"/>
        <v>9523</v>
      </c>
      <c r="N131" s="22">
        <f t="shared" si="20"/>
        <v>21927</v>
      </c>
      <c r="O131" s="22">
        <f t="shared" si="20"/>
        <v>14702</v>
      </c>
      <c r="P131" s="22">
        <f t="shared" si="20"/>
        <v>14580</v>
      </c>
      <c r="Q131" s="22">
        <f t="shared" si="20"/>
        <v>14171</v>
      </c>
      <c r="R131" s="22">
        <f t="shared" si="20"/>
        <v>15175</v>
      </c>
      <c r="S131" s="22">
        <f>S126</f>
        <v>15890</v>
      </c>
      <c r="T131" s="17">
        <f>T126</f>
        <v>189816</v>
      </c>
    </row>
    <row r="132" spans="1:20" ht="18.600000000000001" thickBot="1" x14ac:dyDescent="0.5">
      <c r="A132" s="94" t="s">
        <v>26</v>
      </c>
      <c r="B132" s="88" t="s">
        <v>27</v>
      </c>
      <c r="C132" s="90"/>
      <c r="D132" s="15">
        <f>T132</f>
        <v>0</v>
      </c>
      <c r="F132" s="96" t="s">
        <v>26</v>
      </c>
      <c r="G132" s="23" t="s">
        <v>28</v>
      </c>
      <c r="H132" s="24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6"/>
      <c r="T132" s="27">
        <f>SUM(H132:S132)</f>
        <v>0</v>
      </c>
    </row>
    <row r="133" spans="1:20" ht="18.600000000000001" thickBot="1" x14ac:dyDescent="0.5">
      <c r="A133" s="95"/>
      <c r="B133" s="88" t="s">
        <v>29</v>
      </c>
      <c r="C133" s="98"/>
      <c r="D133" s="28">
        <f>D18</f>
        <v>0</v>
      </c>
      <c r="F133" s="97"/>
      <c r="G133" s="23" t="s">
        <v>30</v>
      </c>
      <c r="H133" s="29">
        <f t="shared" ref="H133:S133" si="21">ROUNDDOWN(H132*$D$18,0)</f>
        <v>0</v>
      </c>
      <c r="I133" s="29">
        <f t="shared" si="21"/>
        <v>0</v>
      </c>
      <c r="J133" s="29">
        <f t="shared" si="21"/>
        <v>0</v>
      </c>
      <c r="K133" s="29">
        <f t="shared" si="21"/>
        <v>0</v>
      </c>
      <c r="L133" s="29">
        <f t="shared" si="21"/>
        <v>0</v>
      </c>
      <c r="M133" s="29">
        <f t="shared" si="21"/>
        <v>0</v>
      </c>
      <c r="N133" s="29">
        <f t="shared" si="21"/>
        <v>0</v>
      </c>
      <c r="O133" s="29">
        <f t="shared" si="21"/>
        <v>0</v>
      </c>
      <c r="P133" s="29">
        <f t="shared" si="21"/>
        <v>0</v>
      </c>
      <c r="Q133" s="29">
        <f t="shared" si="21"/>
        <v>0</v>
      </c>
      <c r="R133" s="29">
        <f t="shared" si="21"/>
        <v>0</v>
      </c>
      <c r="S133" s="29">
        <f t="shared" si="21"/>
        <v>0</v>
      </c>
      <c r="T133" s="19">
        <f>SUM(H133:S133)</f>
        <v>0</v>
      </c>
    </row>
    <row r="134" spans="1:20" x14ac:dyDescent="0.45">
      <c r="A134" s="93" t="s">
        <v>31</v>
      </c>
      <c r="B134" s="88" t="s">
        <v>32</v>
      </c>
      <c r="C134" s="90"/>
      <c r="D134" s="30">
        <f>D131-D132</f>
        <v>189816</v>
      </c>
      <c r="F134" s="100" t="s">
        <v>33</v>
      </c>
      <c r="G134" s="31" t="s">
        <v>34</v>
      </c>
      <c r="H134" s="32">
        <f t="shared" ref="H134:S134" si="22">H131-H132</f>
        <v>13263</v>
      </c>
      <c r="I134" s="32">
        <f t="shared" si="22"/>
        <v>12627</v>
      </c>
      <c r="J134" s="32">
        <f t="shared" si="22"/>
        <v>15472</v>
      </c>
      <c r="K134" s="32">
        <f t="shared" si="22"/>
        <v>21908</v>
      </c>
      <c r="L134" s="32">
        <f t="shared" si="22"/>
        <v>20578</v>
      </c>
      <c r="M134" s="32">
        <f t="shared" si="22"/>
        <v>9523</v>
      </c>
      <c r="N134" s="32">
        <f t="shared" si="22"/>
        <v>21927</v>
      </c>
      <c r="O134" s="32">
        <f t="shared" si="22"/>
        <v>14702</v>
      </c>
      <c r="P134" s="32">
        <f t="shared" si="22"/>
        <v>14580</v>
      </c>
      <c r="Q134" s="32">
        <f t="shared" si="22"/>
        <v>14171</v>
      </c>
      <c r="R134" s="32">
        <f t="shared" si="22"/>
        <v>15175</v>
      </c>
      <c r="S134" s="32">
        <f t="shared" si="22"/>
        <v>15890</v>
      </c>
      <c r="T134" s="17">
        <f>SUM(H134:S134)</f>
        <v>189816</v>
      </c>
    </row>
    <row r="135" spans="1:20" x14ac:dyDescent="0.45">
      <c r="A135" s="93"/>
      <c r="B135" s="88" t="s">
        <v>35</v>
      </c>
      <c r="C135" s="90"/>
      <c r="D135" s="20">
        <f>D128</f>
        <v>32.49</v>
      </c>
      <c r="F135" s="100"/>
      <c r="G135" s="23" t="s">
        <v>36</v>
      </c>
      <c r="H135" s="32">
        <f>H134*$D135</f>
        <v>430914.87000000005</v>
      </c>
      <c r="I135" s="32">
        <f t="shared" ref="I135:S135" si="23">I134*$D135</f>
        <v>410251.23000000004</v>
      </c>
      <c r="J135" s="32">
        <f t="shared" si="23"/>
        <v>502685.28</v>
      </c>
      <c r="K135" s="32">
        <f t="shared" si="23"/>
        <v>711790.92</v>
      </c>
      <c r="L135" s="32">
        <f t="shared" si="23"/>
        <v>668579.22000000009</v>
      </c>
      <c r="M135" s="32">
        <f t="shared" si="23"/>
        <v>309402.27</v>
      </c>
      <c r="N135" s="32">
        <f t="shared" si="23"/>
        <v>712408.2300000001</v>
      </c>
      <c r="O135" s="32">
        <f t="shared" si="23"/>
        <v>477667.98000000004</v>
      </c>
      <c r="P135" s="32">
        <f t="shared" si="23"/>
        <v>473704.2</v>
      </c>
      <c r="Q135" s="32">
        <f t="shared" si="23"/>
        <v>460415.79000000004</v>
      </c>
      <c r="R135" s="32">
        <f t="shared" si="23"/>
        <v>493035.75000000006</v>
      </c>
      <c r="S135" s="32">
        <f t="shared" si="23"/>
        <v>516266.10000000003</v>
      </c>
      <c r="T135" s="19">
        <f>ROUNDDOWN(SUM(H135:S135),0)</f>
        <v>6167121</v>
      </c>
    </row>
    <row r="136" spans="1:20" x14ac:dyDescent="0.45">
      <c r="A136" s="93" t="s">
        <v>37</v>
      </c>
      <c r="B136" s="93"/>
      <c r="C136" s="93"/>
      <c r="D136" s="18">
        <f>T133+T135</f>
        <v>6167121</v>
      </c>
      <c r="G136" s="33"/>
      <c r="H136" s="33"/>
      <c r="I136" s="33"/>
      <c r="J136" s="33"/>
      <c r="K136" s="34"/>
      <c r="L136" s="34"/>
      <c r="M136" s="34"/>
      <c r="N136" s="34"/>
      <c r="O136" s="34"/>
      <c r="P136" s="34"/>
      <c r="Q136" s="34"/>
      <c r="R136" s="34"/>
      <c r="S136" s="34"/>
      <c r="T136" s="34"/>
    </row>
    <row r="137" spans="1:20" x14ac:dyDescent="0.45">
      <c r="G137" s="33"/>
      <c r="H137" s="33"/>
      <c r="I137" s="33"/>
      <c r="J137" s="33"/>
      <c r="K137" s="34"/>
      <c r="L137" s="34"/>
      <c r="M137" s="34"/>
      <c r="N137" s="34"/>
      <c r="O137" s="34"/>
      <c r="P137" s="34"/>
      <c r="Q137" s="34"/>
      <c r="R137" s="34"/>
      <c r="S137" s="34"/>
      <c r="T137" s="34"/>
    </row>
    <row r="138" spans="1:20" x14ac:dyDescent="0.45">
      <c r="A138" s="10" t="s">
        <v>38</v>
      </c>
      <c r="G138" s="33"/>
      <c r="H138" s="33"/>
      <c r="I138" s="33"/>
      <c r="J138" s="33"/>
      <c r="K138" s="34"/>
      <c r="L138" s="34"/>
      <c r="M138" s="34"/>
      <c r="N138" s="34"/>
      <c r="O138" s="34"/>
      <c r="P138" s="34"/>
      <c r="Q138" s="34"/>
      <c r="R138" s="34"/>
      <c r="S138" s="34"/>
      <c r="T138" s="34"/>
    </row>
    <row r="139" spans="1:20" x14ac:dyDescent="0.45">
      <c r="A139" s="101" t="s">
        <v>57</v>
      </c>
      <c r="B139" s="101"/>
      <c r="C139" s="101"/>
      <c r="D139" s="102">
        <f>D127-D136-105</f>
        <v>0</v>
      </c>
      <c r="Q139" s="93" t="s">
        <v>39</v>
      </c>
      <c r="R139" s="93"/>
      <c r="S139" s="93"/>
      <c r="T139" s="35" t="s">
        <v>40</v>
      </c>
    </row>
    <row r="140" spans="1:20" x14ac:dyDescent="0.45">
      <c r="A140" s="101"/>
      <c r="B140" s="101"/>
      <c r="C140" s="101"/>
      <c r="D140" s="102"/>
      <c r="Q140" s="93" t="s">
        <v>41</v>
      </c>
      <c r="R140" s="93"/>
      <c r="S140" s="93"/>
      <c r="T140" s="36">
        <f>D132</f>
        <v>0</v>
      </c>
    </row>
    <row r="141" spans="1:20" x14ac:dyDescent="0.45">
      <c r="A141" s="101"/>
      <c r="B141" s="101"/>
      <c r="C141" s="101"/>
      <c r="D141" s="102"/>
      <c r="Q141" s="93" t="s">
        <v>42</v>
      </c>
      <c r="R141" s="93"/>
      <c r="S141" s="93"/>
      <c r="T141" s="37">
        <f>D132/D131*100</f>
        <v>0</v>
      </c>
    </row>
    <row r="142" spans="1:20" ht="18.600000000000001" thickBot="1" x14ac:dyDescent="0.5">
      <c r="A142" s="101"/>
      <c r="B142" s="101"/>
      <c r="C142" s="101"/>
      <c r="D142" s="103"/>
      <c r="Q142" s="93" t="s">
        <v>43</v>
      </c>
      <c r="R142" s="93"/>
      <c r="S142" s="93"/>
      <c r="T142" s="38">
        <f>T140*0.00036</f>
        <v>0</v>
      </c>
    </row>
    <row r="143" spans="1:20" ht="18.600000000000001" thickBot="1" x14ac:dyDescent="0.5">
      <c r="A143" s="94" t="s">
        <v>44</v>
      </c>
      <c r="B143" s="94"/>
      <c r="C143" s="91"/>
      <c r="D143" s="39"/>
      <c r="Q143" s="2" t="s">
        <v>68</v>
      </c>
    </row>
    <row r="144" spans="1:20" x14ac:dyDescent="0.45">
      <c r="A144" s="99" t="s">
        <v>45</v>
      </c>
      <c r="B144" s="99"/>
      <c r="C144" s="99"/>
      <c r="D144" s="40">
        <f>D127*20-(D136*D143+D127*(20-D143))-105*D143</f>
        <v>0</v>
      </c>
    </row>
    <row r="147" spans="1:20" ht="18.600000000000001" x14ac:dyDescent="0.45">
      <c r="A147" s="8" t="s">
        <v>58</v>
      </c>
      <c r="B147" s="9"/>
      <c r="C147" s="9"/>
      <c r="D147" s="9"/>
    </row>
    <row r="148" spans="1:20" x14ac:dyDescent="0.45">
      <c r="A148" s="10" t="s">
        <v>67</v>
      </c>
      <c r="D148" s="11"/>
      <c r="F148" s="2" t="s">
        <v>6</v>
      </c>
      <c r="H148" s="12" t="s">
        <v>7</v>
      </c>
      <c r="I148" s="12" t="s">
        <v>8</v>
      </c>
      <c r="J148" s="12" t="s">
        <v>9</v>
      </c>
      <c r="K148" s="12" t="s">
        <v>10</v>
      </c>
      <c r="L148" s="12" t="s">
        <v>11</v>
      </c>
      <c r="M148" s="12" t="s">
        <v>12</v>
      </c>
      <c r="N148" s="12" t="s">
        <v>13</v>
      </c>
      <c r="O148" s="12" t="s">
        <v>14</v>
      </c>
      <c r="P148" s="12" t="s">
        <v>15</v>
      </c>
      <c r="Q148" s="12" t="s">
        <v>16</v>
      </c>
      <c r="R148" s="12" t="s">
        <v>17</v>
      </c>
      <c r="S148" s="13" t="s">
        <v>18</v>
      </c>
      <c r="T148" s="14" t="s">
        <v>19</v>
      </c>
    </row>
    <row r="149" spans="1:20" x14ac:dyDescent="0.45">
      <c r="A149" s="88" t="s">
        <v>20</v>
      </c>
      <c r="B149" s="89"/>
      <c r="C149" s="90"/>
      <c r="D149" s="15">
        <f>T149</f>
        <v>576081</v>
      </c>
      <c r="F149" s="91" t="s">
        <v>21</v>
      </c>
      <c r="G149" s="92"/>
      <c r="H149" s="16">
        <v>32521</v>
      </c>
      <c r="I149" s="16">
        <v>36931</v>
      </c>
      <c r="J149" s="16">
        <v>50297</v>
      </c>
      <c r="K149" s="16">
        <v>76436</v>
      </c>
      <c r="L149" s="16">
        <v>44139</v>
      </c>
      <c r="M149" s="16">
        <v>82528</v>
      </c>
      <c r="N149" s="16">
        <v>37024</v>
      </c>
      <c r="O149" s="16">
        <v>34088</v>
      </c>
      <c r="P149" s="16">
        <v>39968</v>
      </c>
      <c r="Q149" s="16">
        <v>51842</v>
      </c>
      <c r="R149" s="16">
        <v>46677</v>
      </c>
      <c r="S149" s="16">
        <v>43630</v>
      </c>
      <c r="T149" s="17">
        <f>SUM(H149:S149)</f>
        <v>576081</v>
      </c>
    </row>
    <row r="150" spans="1:20" x14ac:dyDescent="0.45">
      <c r="A150" s="93" t="s">
        <v>22</v>
      </c>
      <c r="B150" s="93"/>
      <c r="C150" s="93"/>
      <c r="D150" s="18">
        <f>T150</f>
        <v>22396453</v>
      </c>
      <c r="F150" s="93" t="s">
        <v>23</v>
      </c>
      <c r="G150" s="93"/>
      <c r="H150" s="16">
        <v>1737936</v>
      </c>
      <c r="I150" s="16">
        <v>1734763</v>
      </c>
      <c r="J150" s="16">
        <v>1954455</v>
      </c>
      <c r="K150" s="16">
        <v>2450918</v>
      </c>
      <c r="L150" s="16">
        <v>1795418</v>
      </c>
      <c r="M150" s="16">
        <v>2403815</v>
      </c>
      <c r="N150" s="16">
        <v>1642911</v>
      </c>
      <c r="O150" s="16">
        <v>1584731</v>
      </c>
      <c r="P150" s="16">
        <v>1675862</v>
      </c>
      <c r="Q150" s="16">
        <v>1874006</v>
      </c>
      <c r="R150" s="16">
        <v>1791898</v>
      </c>
      <c r="S150" s="16">
        <v>1749740</v>
      </c>
      <c r="T150" s="19">
        <f>SUM(H150:S150)</f>
        <v>22396453</v>
      </c>
    </row>
    <row r="151" spans="1:20" x14ac:dyDescent="0.45">
      <c r="A151" s="88" t="s">
        <v>24</v>
      </c>
      <c r="B151" s="89"/>
      <c r="C151" s="90"/>
      <c r="D151" s="20">
        <f>ROUNDDOWN(D150/D149,2)</f>
        <v>38.869999999999997</v>
      </c>
      <c r="T151" s="11"/>
    </row>
    <row r="152" spans="1:20" x14ac:dyDescent="0.45">
      <c r="A152" s="21"/>
      <c r="T152" s="11"/>
    </row>
    <row r="153" spans="1:20" x14ac:dyDescent="0.45">
      <c r="A153" s="10" t="s">
        <v>25</v>
      </c>
      <c r="D153" s="11"/>
      <c r="F153" s="2" t="s">
        <v>6</v>
      </c>
      <c r="H153" s="12" t="s">
        <v>7</v>
      </c>
      <c r="I153" s="12" t="s">
        <v>8</v>
      </c>
      <c r="J153" s="12" t="s">
        <v>9</v>
      </c>
      <c r="K153" s="12" t="s">
        <v>10</v>
      </c>
      <c r="L153" s="12" t="s">
        <v>11</v>
      </c>
      <c r="M153" s="12" t="s">
        <v>12</v>
      </c>
      <c r="N153" s="12" t="s">
        <v>13</v>
      </c>
      <c r="O153" s="12" t="s">
        <v>14</v>
      </c>
      <c r="P153" s="12" t="s">
        <v>15</v>
      </c>
      <c r="Q153" s="12" t="s">
        <v>16</v>
      </c>
      <c r="R153" s="12" t="s">
        <v>17</v>
      </c>
      <c r="S153" s="13" t="s">
        <v>18</v>
      </c>
      <c r="T153" s="14" t="s">
        <v>19</v>
      </c>
    </row>
    <row r="154" spans="1:20" ht="18.600000000000001" thickBot="1" x14ac:dyDescent="0.5">
      <c r="A154" s="88" t="s">
        <v>20</v>
      </c>
      <c r="B154" s="89"/>
      <c r="C154" s="90"/>
      <c r="D154" s="15">
        <f>D149</f>
        <v>576081</v>
      </c>
      <c r="F154" s="91" t="s">
        <v>21</v>
      </c>
      <c r="G154" s="92"/>
      <c r="H154" s="22">
        <f>H149</f>
        <v>32521</v>
      </c>
      <c r="I154" s="22">
        <f t="shared" ref="I154:R154" si="24">I149</f>
        <v>36931</v>
      </c>
      <c r="J154" s="22">
        <f t="shared" si="24"/>
        <v>50297</v>
      </c>
      <c r="K154" s="22">
        <f t="shared" si="24"/>
        <v>76436</v>
      </c>
      <c r="L154" s="22">
        <f t="shared" si="24"/>
        <v>44139</v>
      </c>
      <c r="M154" s="22">
        <f t="shared" si="24"/>
        <v>82528</v>
      </c>
      <c r="N154" s="22">
        <f t="shared" si="24"/>
        <v>37024</v>
      </c>
      <c r="O154" s="22">
        <f t="shared" si="24"/>
        <v>34088</v>
      </c>
      <c r="P154" s="22">
        <f t="shared" si="24"/>
        <v>39968</v>
      </c>
      <c r="Q154" s="22">
        <f t="shared" si="24"/>
        <v>51842</v>
      </c>
      <c r="R154" s="22">
        <f t="shared" si="24"/>
        <v>46677</v>
      </c>
      <c r="S154" s="22">
        <f>S149</f>
        <v>43630</v>
      </c>
      <c r="T154" s="17">
        <f>T149</f>
        <v>576081</v>
      </c>
    </row>
    <row r="155" spans="1:20" ht="18.600000000000001" thickBot="1" x14ac:dyDescent="0.5">
      <c r="A155" s="94" t="s">
        <v>26</v>
      </c>
      <c r="B155" s="88" t="s">
        <v>27</v>
      </c>
      <c r="C155" s="90"/>
      <c r="D155" s="15">
        <f>T155</f>
        <v>0</v>
      </c>
      <c r="F155" s="96" t="s">
        <v>26</v>
      </c>
      <c r="G155" s="23" t="s">
        <v>28</v>
      </c>
      <c r="H155" s="24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6"/>
      <c r="T155" s="27">
        <f>SUM(H155:S155)</f>
        <v>0</v>
      </c>
    </row>
    <row r="156" spans="1:20" ht="18.600000000000001" thickBot="1" x14ac:dyDescent="0.5">
      <c r="A156" s="95"/>
      <c r="B156" s="88" t="s">
        <v>29</v>
      </c>
      <c r="C156" s="98"/>
      <c r="D156" s="28">
        <f>D18</f>
        <v>0</v>
      </c>
      <c r="F156" s="97"/>
      <c r="G156" s="23" t="s">
        <v>30</v>
      </c>
      <c r="H156" s="29">
        <f t="shared" ref="H156:S156" si="25">ROUNDDOWN(H155*$D$18,0)</f>
        <v>0</v>
      </c>
      <c r="I156" s="29">
        <f t="shared" si="25"/>
        <v>0</v>
      </c>
      <c r="J156" s="29">
        <f t="shared" si="25"/>
        <v>0</v>
      </c>
      <c r="K156" s="29">
        <f t="shared" si="25"/>
        <v>0</v>
      </c>
      <c r="L156" s="29">
        <f t="shared" si="25"/>
        <v>0</v>
      </c>
      <c r="M156" s="29">
        <f t="shared" si="25"/>
        <v>0</v>
      </c>
      <c r="N156" s="29">
        <f t="shared" si="25"/>
        <v>0</v>
      </c>
      <c r="O156" s="29">
        <f t="shared" si="25"/>
        <v>0</v>
      </c>
      <c r="P156" s="29">
        <f t="shared" si="25"/>
        <v>0</v>
      </c>
      <c r="Q156" s="29">
        <f t="shared" si="25"/>
        <v>0</v>
      </c>
      <c r="R156" s="29">
        <f t="shared" si="25"/>
        <v>0</v>
      </c>
      <c r="S156" s="29">
        <f t="shared" si="25"/>
        <v>0</v>
      </c>
      <c r="T156" s="19">
        <f>SUM(H156:S156)</f>
        <v>0</v>
      </c>
    </row>
    <row r="157" spans="1:20" x14ac:dyDescent="0.45">
      <c r="A157" s="93" t="s">
        <v>31</v>
      </c>
      <c r="B157" s="88" t="s">
        <v>32</v>
      </c>
      <c r="C157" s="90"/>
      <c r="D157" s="30">
        <f>D154-D155</f>
        <v>576081</v>
      </c>
      <c r="F157" s="100" t="s">
        <v>33</v>
      </c>
      <c r="G157" s="31" t="s">
        <v>34</v>
      </c>
      <c r="H157" s="32">
        <f t="shared" ref="H157:S157" si="26">H154-H155</f>
        <v>32521</v>
      </c>
      <c r="I157" s="32">
        <f t="shared" si="26"/>
        <v>36931</v>
      </c>
      <c r="J157" s="32">
        <f t="shared" si="26"/>
        <v>50297</v>
      </c>
      <c r="K157" s="32">
        <f t="shared" si="26"/>
        <v>76436</v>
      </c>
      <c r="L157" s="32">
        <f t="shared" si="26"/>
        <v>44139</v>
      </c>
      <c r="M157" s="32">
        <f t="shared" si="26"/>
        <v>82528</v>
      </c>
      <c r="N157" s="32">
        <f t="shared" si="26"/>
        <v>37024</v>
      </c>
      <c r="O157" s="32">
        <f t="shared" si="26"/>
        <v>34088</v>
      </c>
      <c r="P157" s="32">
        <f t="shared" si="26"/>
        <v>39968</v>
      </c>
      <c r="Q157" s="32">
        <f t="shared" si="26"/>
        <v>51842</v>
      </c>
      <c r="R157" s="32">
        <f t="shared" si="26"/>
        <v>46677</v>
      </c>
      <c r="S157" s="32">
        <f t="shared" si="26"/>
        <v>43630</v>
      </c>
      <c r="T157" s="17">
        <f>SUM(H157:S157)</f>
        <v>576081</v>
      </c>
    </row>
    <row r="158" spans="1:20" x14ac:dyDescent="0.45">
      <c r="A158" s="93"/>
      <c r="B158" s="88" t="s">
        <v>35</v>
      </c>
      <c r="C158" s="90"/>
      <c r="D158" s="20">
        <f>D151</f>
        <v>38.869999999999997</v>
      </c>
      <c r="F158" s="100"/>
      <c r="G158" s="23" t="s">
        <v>36</v>
      </c>
      <c r="H158" s="32">
        <f>H157*$D158</f>
        <v>1264091.27</v>
      </c>
      <c r="I158" s="32">
        <f t="shared" ref="I158:S158" si="27">I157*$D158</f>
        <v>1435507.97</v>
      </c>
      <c r="J158" s="32">
        <f t="shared" si="27"/>
        <v>1955044.39</v>
      </c>
      <c r="K158" s="32">
        <f t="shared" si="27"/>
        <v>2971067.32</v>
      </c>
      <c r="L158" s="32">
        <f t="shared" si="27"/>
        <v>1715682.93</v>
      </c>
      <c r="M158" s="32">
        <f t="shared" si="27"/>
        <v>3207863.36</v>
      </c>
      <c r="N158" s="32">
        <f t="shared" si="27"/>
        <v>1439122.88</v>
      </c>
      <c r="O158" s="32">
        <f t="shared" si="27"/>
        <v>1325000.5599999998</v>
      </c>
      <c r="P158" s="32">
        <f t="shared" si="27"/>
        <v>1553556.16</v>
      </c>
      <c r="Q158" s="32">
        <f t="shared" si="27"/>
        <v>2015098.5399999998</v>
      </c>
      <c r="R158" s="32">
        <f t="shared" si="27"/>
        <v>1814334.99</v>
      </c>
      <c r="S158" s="32">
        <f t="shared" si="27"/>
        <v>1695898.0999999999</v>
      </c>
      <c r="T158" s="19">
        <f>ROUNDDOWN(SUM(H158:S158),0)</f>
        <v>22392268</v>
      </c>
    </row>
    <row r="159" spans="1:20" x14ac:dyDescent="0.45">
      <c r="A159" s="93" t="s">
        <v>37</v>
      </c>
      <c r="B159" s="93"/>
      <c r="C159" s="93"/>
      <c r="D159" s="18">
        <f>T156+T158</f>
        <v>22392268</v>
      </c>
      <c r="G159" s="33"/>
      <c r="H159" s="33"/>
      <c r="I159" s="33"/>
      <c r="J159" s="33"/>
      <c r="K159" s="34"/>
      <c r="L159" s="34"/>
      <c r="M159" s="34"/>
      <c r="N159" s="34"/>
      <c r="O159" s="34"/>
      <c r="P159" s="34"/>
      <c r="Q159" s="34"/>
      <c r="R159" s="34"/>
      <c r="S159" s="34"/>
      <c r="T159" s="34"/>
    </row>
    <row r="160" spans="1:20" x14ac:dyDescent="0.45">
      <c r="G160" s="33"/>
      <c r="H160" s="33"/>
      <c r="I160" s="33"/>
      <c r="J160" s="33"/>
      <c r="K160" s="34"/>
      <c r="L160" s="34"/>
      <c r="M160" s="34"/>
      <c r="N160" s="34"/>
      <c r="O160" s="34"/>
      <c r="P160" s="34"/>
      <c r="Q160" s="34"/>
      <c r="R160" s="34"/>
      <c r="S160" s="34"/>
      <c r="T160" s="34"/>
    </row>
    <row r="161" spans="1:20" x14ac:dyDescent="0.45">
      <c r="A161" s="10" t="s">
        <v>38</v>
      </c>
      <c r="G161" s="33"/>
      <c r="H161" s="33"/>
      <c r="I161" s="33"/>
      <c r="J161" s="33"/>
      <c r="K161" s="34"/>
      <c r="L161" s="34"/>
      <c r="M161" s="34"/>
      <c r="N161" s="34"/>
      <c r="O161" s="34"/>
      <c r="P161" s="34"/>
      <c r="Q161" s="34"/>
      <c r="R161" s="34"/>
      <c r="S161" s="34"/>
      <c r="T161" s="34"/>
    </row>
    <row r="162" spans="1:20" x14ac:dyDescent="0.45">
      <c r="A162" s="101" t="s">
        <v>59</v>
      </c>
      <c r="B162" s="101"/>
      <c r="C162" s="101"/>
      <c r="D162" s="102">
        <f>D150-D159-4185</f>
        <v>0</v>
      </c>
      <c r="Q162" s="93" t="s">
        <v>39</v>
      </c>
      <c r="R162" s="93"/>
      <c r="S162" s="93"/>
      <c r="T162" s="35" t="s">
        <v>40</v>
      </c>
    </row>
    <row r="163" spans="1:20" x14ac:dyDescent="0.45">
      <c r="A163" s="101"/>
      <c r="B163" s="101"/>
      <c r="C163" s="101"/>
      <c r="D163" s="102"/>
      <c r="Q163" s="93" t="s">
        <v>41</v>
      </c>
      <c r="R163" s="93"/>
      <c r="S163" s="93"/>
      <c r="T163" s="36">
        <f>D155</f>
        <v>0</v>
      </c>
    </row>
    <row r="164" spans="1:20" x14ac:dyDescent="0.45">
      <c r="A164" s="101"/>
      <c r="B164" s="101"/>
      <c r="C164" s="101"/>
      <c r="D164" s="102"/>
      <c r="Q164" s="93" t="s">
        <v>42</v>
      </c>
      <c r="R164" s="93"/>
      <c r="S164" s="93"/>
      <c r="T164" s="37">
        <f>D155/D154*100</f>
        <v>0</v>
      </c>
    </row>
    <row r="165" spans="1:20" ht="18.600000000000001" thickBot="1" x14ac:dyDescent="0.5">
      <c r="A165" s="101"/>
      <c r="B165" s="101"/>
      <c r="C165" s="101"/>
      <c r="D165" s="103"/>
      <c r="Q165" s="93" t="s">
        <v>43</v>
      </c>
      <c r="R165" s="93"/>
      <c r="S165" s="93"/>
      <c r="T165" s="38">
        <f>T163*0.00036</f>
        <v>0</v>
      </c>
    </row>
    <row r="166" spans="1:20" ht="18.600000000000001" thickBot="1" x14ac:dyDescent="0.5">
      <c r="A166" s="94" t="s">
        <v>44</v>
      </c>
      <c r="B166" s="94"/>
      <c r="C166" s="91"/>
      <c r="D166" s="39"/>
      <c r="Q166" s="2" t="s">
        <v>68</v>
      </c>
    </row>
    <row r="167" spans="1:20" x14ac:dyDescent="0.45">
      <c r="A167" s="99" t="s">
        <v>45</v>
      </c>
      <c r="B167" s="99"/>
      <c r="C167" s="99"/>
      <c r="D167" s="40">
        <f>D150*20-(D159*D166+D150*(20-D166))-4185*D166</f>
        <v>0</v>
      </c>
    </row>
    <row r="170" spans="1:20" ht="18.600000000000001" x14ac:dyDescent="0.45">
      <c r="A170" s="8" t="s">
        <v>60</v>
      </c>
      <c r="B170" s="9"/>
      <c r="C170" s="9"/>
      <c r="D170" s="9"/>
    </row>
    <row r="171" spans="1:20" x14ac:dyDescent="0.45">
      <c r="A171" s="10" t="s">
        <v>67</v>
      </c>
      <c r="D171" s="11"/>
      <c r="F171" s="2" t="s">
        <v>6</v>
      </c>
      <c r="H171" s="12" t="s">
        <v>7</v>
      </c>
      <c r="I171" s="12" t="s">
        <v>8</v>
      </c>
      <c r="J171" s="12" t="s">
        <v>9</v>
      </c>
      <c r="K171" s="12" t="s">
        <v>10</v>
      </c>
      <c r="L171" s="12" t="s">
        <v>11</v>
      </c>
      <c r="M171" s="12" t="s">
        <v>12</v>
      </c>
      <c r="N171" s="12" t="s">
        <v>13</v>
      </c>
      <c r="O171" s="12" t="s">
        <v>14</v>
      </c>
      <c r="P171" s="12" t="s">
        <v>15</v>
      </c>
      <c r="Q171" s="12" t="s">
        <v>16</v>
      </c>
      <c r="R171" s="12" t="s">
        <v>17</v>
      </c>
      <c r="S171" s="13" t="s">
        <v>18</v>
      </c>
      <c r="T171" s="14" t="s">
        <v>19</v>
      </c>
    </row>
    <row r="172" spans="1:20" x14ac:dyDescent="0.45">
      <c r="A172" s="88" t="s">
        <v>20</v>
      </c>
      <c r="B172" s="89"/>
      <c r="C172" s="90"/>
      <c r="D172" s="15">
        <f>T172</f>
        <v>201755</v>
      </c>
      <c r="F172" s="91" t="s">
        <v>21</v>
      </c>
      <c r="G172" s="92"/>
      <c r="H172" s="16">
        <v>16283</v>
      </c>
      <c r="I172" s="16">
        <v>12776</v>
      </c>
      <c r="J172" s="16">
        <v>16551</v>
      </c>
      <c r="K172" s="16">
        <v>18270</v>
      </c>
      <c r="L172" s="16">
        <v>19414</v>
      </c>
      <c r="M172" s="16">
        <v>10025</v>
      </c>
      <c r="N172" s="16">
        <v>19419</v>
      </c>
      <c r="O172" s="16">
        <v>16940</v>
      </c>
      <c r="P172" s="16">
        <v>15991</v>
      </c>
      <c r="Q172" s="16">
        <v>15934</v>
      </c>
      <c r="R172" s="16">
        <v>20313</v>
      </c>
      <c r="S172" s="16">
        <v>19839</v>
      </c>
      <c r="T172" s="17">
        <f>SUM(H172:S172)</f>
        <v>201755</v>
      </c>
    </row>
    <row r="173" spans="1:20" x14ac:dyDescent="0.45">
      <c r="A173" s="93" t="s">
        <v>22</v>
      </c>
      <c r="B173" s="93"/>
      <c r="C173" s="93"/>
      <c r="D173" s="18">
        <f>T173</f>
        <v>6252334</v>
      </c>
      <c r="F173" s="93" t="s">
        <v>23</v>
      </c>
      <c r="G173" s="93"/>
      <c r="H173" s="16">
        <v>565120</v>
      </c>
      <c r="I173" s="16">
        <v>472527</v>
      </c>
      <c r="J173" s="16">
        <v>532628</v>
      </c>
      <c r="K173" s="16">
        <v>546921</v>
      </c>
      <c r="L173" s="16">
        <v>567032</v>
      </c>
      <c r="M173" s="16">
        <v>391650</v>
      </c>
      <c r="N173" s="16">
        <v>574112</v>
      </c>
      <c r="O173" s="16">
        <v>507051</v>
      </c>
      <c r="P173" s="16">
        <v>488079</v>
      </c>
      <c r="Q173" s="16">
        <v>487451</v>
      </c>
      <c r="R173" s="16">
        <v>561856</v>
      </c>
      <c r="S173" s="16">
        <v>557907</v>
      </c>
      <c r="T173" s="19">
        <f>SUM(H173:S173)</f>
        <v>6252334</v>
      </c>
    </row>
    <row r="174" spans="1:20" x14ac:dyDescent="0.45">
      <c r="A174" s="88" t="s">
        <v>24</v>
      </c>
      <c r="B174" s="89"/>
      <c r="C174" s="90"/>
      <c r="D174" s="20">
        <f>ROUNDDOWN(D173/D172,2)</f>
        <v>30.98</v>
      </c>
      <c r="T174" s="11"/>
    </row>
    <row r="175" spans="1:20" x14ac:dyDescent="0.45">
      <c r="A175" s="21"/>
      <c r="T175" s="11"/>
    </row>
    <row r="176" spans="1:20" x14ac:dyDescent="0.45">
      <c r="A176" s="10" t="s">
        <v>25</v>
      </c>
      <c r="D176" s="11"/>
      <c r="F176" s="2" t="s">
        <v>6</v>
      </c>
      <c r="H176" s="12" t="s">
        <v>7</v>
      </c>
      <c r="I176" s="12" t="s">
        <v>8</v>
      </c>
      <c r="J176" s="12" t="s">
        <v>9</v>
      </c>
      <c r="K176" s="12" t="s">
        <v>10</v>
      </c>
      <c r="L176" s="12" t="s">
        <v>11</v>
      </c>
      <c r="M176" s="12" t="s">
        <v>12</v>
      </c>
      <c r="N176" s="12" t="s">
        <v>13</v>
      </c>
      <c r="O176" s="12" t="s">
        <v>14</v>
      </c>
      <c r="P176" s="12" t="s">
        <v>15</v>
      </c>
      <c r="Q176" s="12" t="s">
        <v>16</v>
      </c>
      <c r="R176" s="12" t="s">
        <v>17</v>
      </c>
      <c r="S176" s="13" t="s">
        <v>18</v>
      </c>
      <c r="T176" s="14" t="s">
        <v>19</v>
      </c>
    </row>
    <row r="177" spans="1:20" ht="18.600000000000001" thickBot="1" x14ac:dyDescent="0.5">
      <c r="A177" s="88" t="s">
        <v>20</v>
      </c>
      <c r="B177" s="89"/>
      <c r="C177" s="90"/>
      <c r="D177" s="15">
        <f>D172</f>
        <v>201755</v>
      </c>
      <c r="F177" s="91" t="s">
        <v>21</v>
      </c>
      <c r="G177" s="92"/>
      <c r="H177" s="22">
        <f>H172</f>
        <v>16283</v>
      </c>
      <c r="I177" s="22">
        <f t="shared" ref="I177:R177" si="28">I172</f>
        <v>12776</v>
      </c>
      <c r="J177" s="22">
        <f t="shared" si="28"/>
        <v>16551</v>
      </c>
      <c r="K177" s="22">
        <f t="shared" si="28"/>
        <v>18270</v>
      </c>
      <c r="L177" s="22">
        <f t="shared" si="28"/>
        <v>19414</v>
      </c>
      <c r="M177" s="22">
        <f t="shared" si="28"/>
        <v>10025</v>
      </c>
      <c r="N177" s="22">
        <f t="shared" si="28"/>
        <v>19419</v>
      </c>
      <c r="O177" s="22">
        <f t="shared" si="28"/>
        <v>16940</v>
      </c>
      <c r="P177" s="22">
        <f t="shared" si="28"/>
        <v>15991</v>
      </c>
      <c r="Q177" s="22">
        <f t="shared" si="28"/>
        <v>15934</v>
      </c>
      <c r="R177" s="22">
        <f t="shared" si="28"/>
        <v>20313</v>
      </c>
      <c r="S177" s="22">
        <f>S172</f>
        <v>19839</v>
      </c>
      <c r="T177" s="17">
        <f>T172</f>
        <v>201755</v>
      </c>
    </row>
    <row r="178" spans="1:20" ht="18.600000000000001" thickBot="1" x14ac:dyDescent="0.5">
      <c r="A178" s="94" t="s">
        <v>26</v>
      </c>
      <c r="B178" s="88" t="s">
        <v>27</v>
      </c>
      <c r="C178" s="90"/>
      <c r="D178" s="15">
        <f>T178</f>
        <v>0</v>
      </c>
      <c r="F178" s="96" t="s">
        <v>26</v>
      </c>
      <c r="G178" s="23" t="s">
        <v>28</v>
      </c>
      <c r="H178" s="24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6"/>
      <c r="T178" s="27">
        <f>SUM(H178:S178)</f>
        <v>0</v>
      </c>
    </row>
    <row r="179" spans="1:20" ht="18.600000000000001" thickBot="1" x14ac:dyDescent="0.5">
      <c r="A179" s="95"/>
      <c r="B179" s="88" t="s">
        <v>29</v>
      </c>
      <c r="C179" s="98"/>
      <c r="D179" s="28">
        <f>D18</f>
        <v>0</v>
      </c>
      <c r="F179" s="97"/>
      <c r="G179" s="23" t="s">
        <v>30</v>
      </c>
      <c r="H179" s="29">
        <f t="shared" ref="H179:S179" si="29">ROUNDDOWN(H178*$D$18,0)</f>
        <v>0</v>
      </c>
      <c r="I179" s="29">
        <f t="shared" si="29"/>
        <v>0</v>
      </c>
      <c r="J179" s="29">
        <f t="shared" si="29"/>
        <v>0</v>
      </c>
      <c r="K179" s="29">
        <f t="shared" si="29"/>
        <v>0</v>
      </c>
      <c r="L179" s="29">
        <f t="shared" si="29"/>
        <v>0</v>
      </c>
      <c r="M179" s="29">
        <f t="shared" si="29"/>
        <v>0</v>
      </c>
      <c r="N179" s="29">
        <f t="shared" si="29"/>
        <v>0</v>
      </c>
      <c r="O179" s="29">
        <f t="shared" si="29"/>
        <v>0</v>
      </c>
      <c r="P179" s="29">
        <f t="shared" si="29"/>
        <v>0</v>
      </c>
      <c r="Q179" s="29">
        <f t="shared" si="29"/>
        <v>0</v>
      </c>
      <c r="R179" s="29">
        <f t="shared" si="29"/>
        <v>0</v>
      </c>
      <c r="S179" s="29">
        <f t="shared" si="29"/>
        <v>0</v>
      </c>
      <c r="T179" s="19">
        <f>SUM(H179:S179)</f>
        <v>0</v>
      </c>
    </row>
    <row r="180" spans="1:20" x14ac:dyDescent="0.45">
      <c r="A180" s="93" t="s">
        <v>31</v>
      </c>
      <c r="B180" s="88" t="s">
        <v>32</v>
      </c>
      <c r="C180" s="90"/>
      <c r="D180" s="30">
        <f>D177-D178</f>
        <v>201755</v>
      </c>
      <c r="F180" s="100" t="s">
        <v>33</v>
      </c>
      <c r="G180" s="31" t="s">
        <v>34</v>
      </c>
      <c r="H180" s="32">
        <f t="shared" ref="H180:S180" si="30">H177-H178</f>
        <v>16283</v>
      </c>
      <c r="I180" s="32">
        <f t="shared" si="30"/>
        <v>12776</v>
      </c>
      <c r="J180" s="32">
        <f t="shared" si="30"/>
        <v>16551</v>
      </c>
      <c r="K180" s="32">
        <f t="shared" si="30"/>
        <v>18270</v>
      </c>
      <c r="L180" s="32">
        <f t="shared" si="30"/>
        <v>19414</v>
      </c>
      <c r="M180" s="32">
        <f t="shared" si="30"/>
        <v>10025</v>
      </c>
      <c r="N180" s="32">
        <f t="shared" si="30"/>
        <v>19419</v>
      </c>
      <c r="O180" s="32">
        <f t="shared" si="30"/>
        <v>16940</v>
      </c>
      <c r="P180" s="32">
        <f t="shared" si="30"/>
        <v>15991</v>
      </c>
      <c r="Q180" s="32">
        <f t="shared" si="30"/>
        <v>15934</v>
      </c>
      <c r="R180" s="32">
        <f t="shared" si="30"/>
        <v>20313</v>
      </c>
      <c r="S180" s="32">
        <f t="shared" si="30"/>
        <v>19839</v>
      </c>
      <c r="T180" s="17">
        <f>SUM(H180:S180)</f>
        <v>201755</v>
      </c>
    </row>
    <row r="181" spans="1:20" x14ac:dyDescent="0.45">
      <c r="A181" s="93"/>
      <c r="B181" s="88" t="s">
        <v>35</v>
      </c>
      <c r="C181" s="90"/>
      <c r="D181" s="20">
        <f>D174</f>
        <v>30.98</v>
      </c>
      <c r="F181" s="100"/>
      <c r="G181" s="23" t="s">
        <v>36</v>
      </c>
      <c r="H181" s="32">
        <f>H180*$D181</f>
        <v>504447.34</v>
      </c>
      <c r="I181" s="32">
        <f t="shared" ref="I181:S181" si="31">I180*$D181</f>
        <v>395800.48</v>
      </c>
      <c r="J181" s="32">
        <f t="shared" si="31"/>
        <v>512749.98</v>
      </c>
      <c r="K181" s="32">
        <f t="shared" si="31"/>
        <v>566004.6</v>
      </c>
      <c r="L181" s="32">
        <f t="shared" si="31"/>
        <v>601445.72</v>
      </c>
      <c r="M181" s="32">
        <f t="shared" si="31"/>
        <v>310574.5</v>
      </c>
      <c r="N181" s="32">
        <f t="shared" si="31"/>
        <v>601600.62</v>
      </c>
      <c r="O181" s="32">
        <f t="shared" si="31"/>
        <v>524801.19999999995</v>
      </c>
      <c r="P181" s="32">
        <f t="shared" si="31"/>
        <v>495401.18</v>
      </c>
      <c r="Q181" s="32">
        <f t="shared" si="31"/>
        <v>493635.32</v>
      </c>
      <c r="R181" s="32">
        <f t="shared" si="31"/>
        <v>629296.74</v>
      </c>
      <c r="S181" s="32">
        <f t="shared" si="31"/>
        <v>614612.22</v>
      </c>
      <c r="T181" s="19">
        <f>ROUNDDOWN(SUM(H181:S181),0)</f>
        <v>6250369</v>
      </c>
    </row>
    <row r="182" spans="1:20" x14ac:dyDescent="0.45">
      <c r="A182" s="93" t="s">
        <v>37</v>
      </c>
      <c r="B182" s="93"/>
      <c r="C182" s="93"/>
      <c r="D182" s="18">
        <f>T179+T181</f>
        <v>6250369</v>
      </c>
      <c r="G182" s="33"/>
      <c r="H182" s="33"/>
      <c r="I182" s="33"/>
      <c r="J182" s="33"/>
      <c r="K182" s="34"/>
      <c r="L182" s="34"/>
      <c r="M182" s="34"/>
      <c r="N182" s="34"/>
      <c r="O182" s="34"/>
      <c r="P182" s="34"/>
      <c r="Q182" s="34"/>
      <c r="R182" s="34"/>
      <c r="S182" s="34"/>
      <c r="T182" s="34"/>
    </row>
    <row r="183" spans="1:20" x14ac:dyDescent="0.45">
      <c r="G183" s="33"/>
      <c r="H183" s="33"/>
      <c r="I183" s="33"/>
      <c r="J183" s="33"/>
      <c r="K183" s="34"/>
      <c r="L183" s="34"/>
      <c r="M183" s="34"/>
      <c r="N183" s="34"/>
      <c r="O183" s="34"/>
      <c r="P183" s="34"/>
      <c r="Q183" s="34"/>
      <c r="R183" s="34"/>
      <c r="S183" s="34"/>
      <c r="T183" s="34"/>
    </row>
    <row r="184" spans="1:20" x14ac:dyDescent="0.45">
      <c r="A184" s="10" t="s">
        <v>38</v>
      </c>
      <c r="G184" s="33"/>
      <c r="H184" s="33"/>
      <c r="I184" s="33"/>
      <c r="J184" s="33"/>
      <c r="K184" s="34"/>
      <c r="L184" s="34"/>
      <c r="M184" s="34"/>
      <c r="N184" s="34"/>
      <c r="O184" s="34"/>
      <c r="P184" s="34"/>
      <c r="Q184" s="34"/>
      <c r="R184" s="34"/>
      <c r="S184" s="34"/>
      <c r="T184" s="34"/>
    </row>
    <row r="185" spans="1:20" x14ac:dyDescent="0.45">
      <c r="A185" s="101" t="s">
        <v>61</v>
      </c>
      <c r="B185" s="101"/>
      <c r="C185" s="101"/>
      <c r="D185" s="102">
        <f>D173-D182-1965</f>
        <v>0</v>
      </c>
      <c r="Q185" s="93" t="s">
        <v>39</v>
      </c>
      <c r="R185" s="93"/>
      <c r="S185" s="93"/>
      <c r="T185" s="35" t="s">
        <v>40</v>
      </c>
    </row>
    <row r="186" spans="1:20" x14ac:dyDescent="0.45">
      <c r="A186" s="101"/>
      <c r="B186" s="101"/>
      <c r="C186" s="101"/>
      <c r="D186" s="102"/>
      <c r="Q186" s="93" t="s">
        <v>41</v>
      </c>
      <c r="R186" s="93"/>
      <c r="S186" s="93"/>
      <c r="T186" s="36">
        <f>D178</f>
        <v>0</v>
      </c>
    </row>
    <row r="187" spans="1:20" x14ac:dyDescent="0.45">
      <c r="A187" s="101"/>
      <c r="B187" s="101"/>
      <c r="C187" s="101"/>
      <c r="D187" s="102"/>
      <c r="Q187" s="93" t="s">
        <v>42</v>
      </c>
      <c r="R187" s="93"/>
      <c r="S187" s="93"/>
      <c r="T187" s="37">
        <f>D178/D177*100</f>
        <v>0</v>
      </c>
    </row>
    <row r="188" spans="1:20" ht="18.600000000000001" thickBot="1" x14ac:dyDescent="0.5">
      <c r="A188" s="101"/>
      <c r="B188" s="101"/>
      <c r="C188" s="101"/>
      <c r="D188" s="103"/>
      <c r="Q188" s="93" t="s">
        <v>43</v>
      </c>
      <c r="R188" s="93"/>
      <c r="S188" s="93"/>
      <c r="T188" s="38">
        <f>T186*0.00036</f>
        <v>0</v>
      </c>
    </row>
    <row r="189" spans="1:20" ht="18.600000000000001" thickBot="1" x14ac:dyDescent="0.5">
      <c r="A189" s="94" t="s">
        <v>44</v>
      </c>
      <c r="B189" s="94"/>
      <c r="C189" s="91"/>
      <c r="D189" s="39"/>
      <c r="Q189" s="2" t="s">
        <v>68</v>
      </c>
    </row>
    <row r="190" spans="1:20" x14ac:dyDescent="0.45">
      <c r="A190" s="99" t="s">
        <v>45</v>
      </c>
      <c r="B190" s="99"/>
      <c r="C190" s="99"/>
      <c r="D190" s="40">
        <f>D173*20-(D182*D189+D173*(20-D189))-1965*D189</f>
        <v>0</v>
      </c>
    </row>
    <row r="193" spans="1:20" ht="18.600000000000001" x14ac:dyDescent="0.45">
      <c r="A193" s="8" t="s">
        <v>62</v>
      </c>
      <c r="B193" s="9"/>
      <c r="C193" s="9"/>
      <c r="D193" s="9"/>
    </row>
    <row r="194" spans="1:20" x14ac:dyDescent="0.45">
      <c r="A194" s="10" t="s">
        <v>67</v>
      </c>
      <c r="D194" s="11"/>
      <c r="F194" s="2" t="s">
        <v>6</v>
      </c>
      <c r="H194" s="12" t="s">
        <v>7</v>
      </c>
      <c r="I194" s="12" t="s">
        <v>8</v>
      </c>
      <c r="J194" s="12" t="s">
        <v>9</v>
      </c>
      <c r="K194" s="12" t="s">
        <v>10</v>
      </c>
      <c r="L194" s="12" t="s">
        <v>11</v>
      </c>
      <c r="M194" s="12" t="s">
        <v>12</v>
      </c>
      <c r="N194" s="12" t="s">
        <v>13</v>
      </c>
      <c r="O194" s="12" t="s">
        <v>14</v>
      </c>
      <c r="P194" s="12" t="s">
        <v>15</v>
      </c>
      <c r="Q194" s="12" t="s">
        <v>16</v>
      </c>
      <c r="R194" s="12" t="s">
        <v>17</v>
      </c>
      <c r="S194" s="13" t="s">
        <v>18</v>
      </c>
      <c r="T194" s="14" t="s">
        <v>19</v>
      </c>
    </row>
    <row r="195" spans="1:20" x14ac:dyDescent="0.45">
      <c r="A195" s="88" t="s">
        <v>20</v>
      </c>
      <c r="B195" s="89"/>
      <c r="C195" s="90"/>
      <c r="D195" s="15">
        <f>T195</f>
        <v>189504</v>
      </c>
      <c r="F195" s="91" t="s">
        <v>21</v>
      </c>
      <c r="G195" s="92"/>
      <c r="H195" s="16">
        <v>17073</v>
      </c>
      <c r="I195" s="16">
        <v>11602</v>
      </c>
      <c r="J195" s="16">
        <v>12411</v>
      </c>
      <c r="K195" s="16">
        <v>18488</v>
      </c>
      <c r="L195" s="16">
        <v>19181</v>
      </c>
      <c r="M195" s="16">
        <v>8159</v>
      </c>
      <c r="N195" s="16">
        <v>19746</v>
      </c>
      <c r="O195" s="16">
        <v>15190</v>
      </c>
      <c r="P195" s="16">
        <v>15354</v>
      </c>
      <c r="Q195" s="16">
        <v>15585</v>
      </c>
      <c r="R195" s="16">
        <v>19210</v>
      </c>
      <c r="S195" s="16">
        <v>17505</v>
      </c>
      <c r="T195" s="17">
        <f>SUM(H195:S195)</f>
        <v>189504</v>
      </c>
    </row>
    <row r="196" spans="1:20" x14ac:dyDescent="0.45">
      <c r="A196" s="93" t="s">
        <v>22</v>
      </c>
      <c r="B196" s="93"/>
      <c r="C196" s="93"/>
      <c r="D196" s="18">
        <f>T196</f>
        <v>6465620</v>
      </c>
      <c r="F196" s="93" t="s">
        <v>23</v>
      </c>
      <c r="G196" s="93"/>
      <c r="H196" s="16">
        <v>621581</v>
      </c>
      <c r="I196" s="16">
        <v>491814</v>
      </c>
      <c r="J196" s="16">
        <v>497337</v>
      </c>
      <c r="K196" s="16">
        <v>593041</v>
      </c>
      <c r="L196" s="16">
        <v>605150</v>
      </c>
      <c r="M196" s="16">
        <v>402440</v>
      </c>
      <c r="N196" s="16">
        <v>609281</v>
      </c>
      <c r="O196" s="16">
        <v>506919</v>
      </c>
      <c r="P196" s="16">
        <v>506755</v>
      </c>
      <c r="Q196" s="16">
        <v>510902</v>
      </c>
      <c r="R196" s="16">
        <v>572686</v>
      </c>
      <c r="S196" s="16">
        <v>547714</v>
      </c>
      <c r="T196" s="19">
        <f>SUM(H196:S196)</f>
        <v>6465620</v>
      </c>
    </row>
    <row r="197" spans="1:20" x14ac:dyDescent="0.45">
      <c r="A197" s="88" t="s">
        <v>24</v>
      </c>
      <c r="B197" s="89"/>
      <c r="C197" s="90"/>
      <c r="D197" s="20">
        <f>ROUNDDOWN(D196/D195,2)</f>
        <v>34.11</v>
      </c>
      <c r="T197" s="11"/>
    </row>
    <row r="198" spans="1:20" x14ac:dyDescent="0.45">
      <c r="A198" s="21"/>
      <c r="T198" s="11"/>
    </row>
    <row r="199" spans="1:20" x14ac:dyDescent="0.45">
      <c r="A199" s="10" t="s">
        <v>25</v>
      </c>
      <c r="D199" s="11"/>
      <c r="F199" s="2" t="s">
        <v>6</v>
      </c>
      <c r="H199" s="12" t="s">
        <v>7</v>
      </c>
      <c r="I199" s="12" t="s">
        <v>8</v>
      </c>
      <c r="J199" s="12" t="s">
        <v>9</v>
      </c>
      <c r="K199" s="12" t="s">
        <v>10</v>
      </c>
      <c r="L199" s="12" t="s">
        <v>11</v>
      </c>
      <c r="M199" s="12" t="s">
        <v>12</v>
      </c>
      <c r="N199" s="12" t="s">
        <v>13</v>
      </c>
      <c r="O199" s="12" t="s">
        <v>14</v>
      </c>
      <c r="P199" s="12" t="s">
        <v>15</v>
      </c>
      <c r="Q199" s="12" t="s">
        <v>16</v>
      </c>
      <c r="R199" s="12" t="s">
        <v>17</v>
      </c>
      <c r="S199" s="13" t="s">
        <v>18</v>
      </c>
      <c r="T199" s="14" t="s">
        <v>19</v>
      </c>
    </row>
    <row r="200" spans="1:20" ht="18.600000000000001" thickBot="1" x14ac:dyDescent="0.5">
      <c r="A200" s="88" t="s">
        <v>20</v>
      </c>
      <c r="B200" s="89"/>
      <c r="C200" s="90"/>
      <c r="D200" s="15">
        <f>D195</f>
        <v>189504</v>
      </c>
      <c r="F200" s="91" t="s">
        <v>21</v>
      </c>
      <c r="G200" s="92"/>
      <c r="H200" s="22">
        <f>H195</f>
        <v>17073</v>
      </c>
      <c r="I200" s="22">
        <f t="shared" ref="I200:R200" si="32">I195</f>
        <v>11602</v>
      </c>
      <c r="J200" s="22">
        <f t="shared" si="32"/>
        <v>12411</v>
      </c>
      <c r="K200" s="22">
        <f t="shared" si="32"/>
        <v>18488</v>
      </c>
      <c r="L200" s="22">
        <f t="shared" si="32"/>
        <v>19181</v>
      </c>
      <c r="M200" s="22">
        <f t="shared" si="32"/>
        <v>8159</v>
      </c>
      <c r="N200" s="22">
        <f t="shared" si="32"/>
        <v>19746</v>
      </c>
      <c r="O200" s="22">
        <f t="shared" si="32"/>
        <v>15190</v>
      </c>
      <c r="P200" s="22">
        <f t="shared" si="32"/>
        <v>15354</v>
      </c>
      <c r="Q200" s="22">
        <f t="shared" si="32"/>
        <v>15585</v>
      </c>
      <c r="R200" s="22">
        <f t="shared" si="32"/>
        <v>19210</v>
      </c>
      <c r="S200" s="22">
        <f>S195</f>
        <v>17505</v>
      </c>
      <c r="T200" s="17">
        <f>T195</f>
        <v>189504</v>
      </c>
    </row>
    <row r="201" spans="1:20" ht="18.600000000000001" thickBot="1" x14ac:dyDescent="0.5">
      <c r="A201" s="94" t="s">
        <v>26</v>
      </c>
      <c r="B201" s="88" t="s">
        <v>27</v>
      </c>
      <c r="C201" s="90"/>
      <c r="D201" s="15">
        <f>T201</f>
        <v>0</v>
      </c>
      <c r="F201" s="96" t="s">
        <v>26</v>
      </c>
      <c r="G201" s="23" t="s">
        <v>28</v>
      </c>
      <c r="H201" s="24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6"/>
      <c r="T201" s="27">
        <f>SUM(H201:S201)</f>
        <v>0</v>
      </c>
    </row>
    <row r="202" spans="1:20" ht="18.600000000000001" thickBot="1" x14ac:dyDescent="0.5">
      <c r="A202" s="95"/>
      <c r="B202" s="88" t="s">
        <v>29</v>
      </c>
      <c r="C202" s="98"/>
      <c r="D202" s="28">
        <f>D18</f>
        <v>0</v>
      </c>
      <c r="F202" s="97"/>
      <c r="G202" s="23" t="s">
        <v>30</v>
      </c>
      <c r="H202" s="29">
        <f t="shared" ref="H202:S202" si="33">ROUNDDOWN(H201*$D$18,0)</f>
        <v>0</v>
      </c>
      <c r="I202" s="29">
        <f t="shared" si="33"/>
        <v>0</v>
      </c>
      <c r="J202" s="29">
        <f t="shared" si="33"/>
        <v>0</v>
      </c>
      <c r="K202" s="29">
        <f t="shared" si="33"/>
        <v>0</v>
      </c>
      <c r="L202" s="29">
        <f t="shared" si="33"/>
        <v>0</v>
      </c>
      <c r="M202" s="29">
        <f t="shared" si="33"/>
        <v>0</v>
      </c>
      <c r="N202" s="29">
        <f t="shared" si="33"/>
        <v>0</v>
      </c>
      <c r="O202" s="29">
        <f t="shared" si="33"/>
        <v>0</v>
      </c>
      <c r="P202" s="29">
        <f t="shared" si="33"/>
        <v>0</v>
      </c>
      <c r="Q202" s="29">
        <f t="shared" si="33"/>
        <v>0</v>
      </c>
      <c r="R202" s="29">
        <f t="shared" si="33"/>
        <v>0</v>
      </c>
      <c r="S202" s="29">
        <f t="shared" si="33"/>
        <v>0</v>
      </c>
      <c r="T202" s="19">
        <f>SUM(H202:S202)</f>
        <v>0</v>
      </c>
    </row>
    <row r="203" spans="1:20" x14ac:dyDescent="0.45">
      <c r="A203" s="93" t="s">
        <v>31</v>
      </c>
      <c r="B203" s="88" t="s">
        <v>32</v>
      </c>
      <c r="C203" s="90"/>
      <c r="D203" s="30">
        <f>D200-D201</f>
        <v>189504</v>
      </c>
      <c r="F203" s="100" t="s">
        <v>33</v>
      </c>
      <c r="G203" s="31" t="s">
        <v>34</v>
      </c>
      <c r="H203" s="32">
        <f t="shared" ref="H203:S203" si="34">H200-H201</f>
        <v>17073</v>
      </c>
      <c r="I203" s="32">
        <f t="shared" si="34"/>
        <v>11602</v>
      </c>
      <c r="J203" s="32">
        <f t="shared" si="34"/>
        <v>12411</v>
      </c>
      <c r="K203" s="32">
        <f t="shared" si="34"/>
        <v>18488</v>
      </c>
      <c r="L203" s="32">
        <f t="shared" si="34"/>
        <v>19181</v>
      </c>
      <c r="M203" s="32">
        <f t="shared" si="34"/>
        <v>8159</v>
      </c>
      <c r="N203" s="32">
        <f t="shared" si="34"/>
        <v>19746</v>
      </c>
      <c r="O203" s="32">
        <f t="shared" si="34"/>
        <v>15190</v>
      </c>
      <c r="P203" s="32">
        <f t="shared" si="34"/>
        <v>15354</v>
      </c>
      <c r="Q203" s="32">
        <f t="shared" si="34"/>
        <v>15585</v>
      </c>
      <c r="R203" s="32">
        <f t="shared" si="34"/>
        <v>19210</v>
      </c>
      <c r="S203" s="32">
        <f t="shared" si="34"/>
        <v>17505</v>
      </c>
      <c r="T203" s="17">
        <f>SUM(H203:S203)</f>
        <v>189504</v>
      </c>
    </row>
    <row r="204" spans="1:20" x14ac:dyDescent="0.45">
      <c r="A204" s="93"/>
      <c r="B204" s="88" t="s">
        <v>35</v>
      </c>
      <c r="C204" s="90"/>
      <c r="D204" s="20">
        <f>D197</f>
        <v>34.11</v>
      </c>
      <c r="F204" s="100"/>
      <c r="G204" s="23" t="s">
        <v>36</v>
      </c>
      <c r="H204" s="32">
        <f>H203*$D204</f>
        <v>582360.03</v>
      </c>
      <c r="I204" s="32">
        <f t="shared" ref="I204:S204" si="35">I203*$D204</f>
        <v>395744.22</v>
      </c>
      <c r="J204" s="32">
        <f t="shared" si="35"/>
        <v>423339.21</v>
      </c>
      <c r="K204" s="32">
        <f t="shared" si="35"/>
        <v>630625.67999999993</v>
      </c>
      <c r="L204" s="32">
        <f t="shared" si="35"/>
        <v>654263.91</v>
      </c>
      <c r="M204" s="32">
        <f t="shared" si="35"/>
        <v>278303.49</v>
      </c>
      <c r="N204" s="32">
        <f t="shared" si="35"/>
        <v>673536.05999999994</v>
      </c>
      <c r="O204" s="32">
        <f t="shared" si="35"/>
        <v>518130.89999999997</v>
      </c>
      <c r="P204" s="32">
        <f t="shared" si="35"/>
        <v>523724.94</v>
      </c>
      <c r="Q204" s="32">
        <f t="shared" si="35"/>
        <v>531604.35</v>
      </c>
      <c r="R204" s="32">
        <f t="shared" si="35"/>
        <v>655253.1</v>
      </c>
      <c r="S204" s="32">
        <f t="shared" si="35"/>
        <v>597095.55000000005</v>
      </c>
      <c r="T204" s="19">
        <f>ROUNDDOWN(SUM(H204:S204),0)</f>
        <v>6463981</v>
      </c>
    </row>
    <row r="205" spans="1:20" x14ac:dyDescent="0.45">
      <c r="A205" s="93" t="s">
        <v>37</v>
      </c>
      <c r="B205" s="93"/>
      <c r="C205" s="93"/>
      <c r="D205" s="18">
        <f>T202+T204</f>
        <v>6463981</v>
      </c>
      <c r="G205" s="33"/>
      <c r="H205" s="33"/>
      <c r="I205" s="33"/>
      <c r="J205" s="33"/>
      <c r="K205" s="34"/>
      <c r="L205" s="34"/>
      <c r="M205" s="34"/>
      <c r="N205" s="34"/>
      <c r="O205" s="34"/>
      <c r="P205" s="34"/>
      <c r="Q205" s="34"/>
      <c r="R205" s="34"/>
      <c r="S205" s="34"/>
      <c r="T205" s="34"/>
    </row>
    <row r="206" spans="1:20" x14ac:dyDescent="0.45">
      <c r="G206" s="33"/>
      <c r="H206" s="33"/>
      <c r="I206" s="33"/>
      <c r="J206" s="33"/>
      <c r="K206" s="34"/>
      <c r="L206" s="34"/>
      <c r="M206" s="34"/>
      <c r="N206" s="34"/>
      <c r="O206" s="34"/>
      <c r="P206" s="34"/>
      <c r="Q206" s="34"/>
      <c r="R206" s="34"/>
      <c r="S206" s="34"/>
      <c r="T206" s="34"/>
    </row>
    <row r="207" spans="1:20" x14ac:dyDescent="0.45">
      <c r="A207" s="10" t="s">
        <v>38</v>
      </c>
      <c r="G207" s="33"/>
      <c r="H207" s="33"/>
      <c r="I207" s="33"/>
      <c r="J207" s="33"/>
      <c r="K207" s="34"/>
      <c r="L207" s="34"/>
      <c r="M207" s="34"/>
      <c r="N207" s="34"/>
      <c r="O207" s="34"/>
      <c r="P207" s="34"/>
      <c r="Q207" s="34"/>
      <c r="R207" s="34"/>
      <c r="S207" s="34"/>
      <c r="T207" s="34"/>
    </row>
    <row r="208" spans="1:20" x14ac:dyDescent="0.45">
      <c r="A208" s="101" t="s">
        <v>63</v>
      </c>
      <c r="B208" s="101"/>
      <c r="C208" s="101"/>
      <c r="D208" s="102">
        <f>D196-D205-1639</f>
        <v>0</v>
      </c>
      <c r="Q208" s="93" t="s">
        <v>39</v>
      </c>
      <c r="R208" s="93"/>
      <c r="S208" s="93"/>
      <c r="T208" s="35" t="s">
        <v>40</v>
      </c>
    </row>
    <row r="209" spans="1:20" x14ac:dyDescent="0.45">
      <c r="A209" s="101"/>
      <c r="B209" s="101"/>
      <c r="C209" s="101"/>
      <c r="D209" s="102"/>
      <c r="Q209" s="93" t="s">
        <v>41</v>
      </c>
      <c r="R209" s="93"/>
      <c r="S209" s="93"/>
      <c r="T209" s="36">
        <f>D201</f>
        <v>0</v>
      </c>
    </row>
    <row r="210" spans="1:20" x14ac:dyDescent="0.45">
      <c r="A210" s="101"/>
      <c r="B210" s="101"/>
      <c r="C210" s="101"/>
      <c r="D210" s="102"/>
      <c r="Q210" s="93" t="s">
        <v>42</v>
      </c>
      <c r="R210" s="93"/>
      <c r="S210" s="93"/>
      <c r="T210" s="37">
        <f>D201/D200*100</f>
        <v>0</v>
      </c>
    </row>
    <row r="211" spans="1:20" ht="18.600000000000001" thickBot="1" x14ac:dyDescent="0.5">
      <c r="A211" s="101"/>
      <c r="B211" s="101"/>
      <c r="C211" s="101"/>
      <c r="D211" s="103"/>
      <c r="Q211" s="93" t="s">
        <v>43</v>
      </c>
      <c r="R211" s="93"/>
      <c r="S211" s="93"/>
      <c r="T211" s="38">
        <f>T209*0.00036</f>
        <v>0</v>
      </c>
    </row>
    <row r="212" spans="1:20" ht="18.600000000000001" thickBot="1" x14ac:dyDescent="0.5">
      <c r="A212" s="94" t="s">
        <v>44</v>
      </c>
      <c r="B212" s="94"/>
      <c r="C212" s="91"/>
      <c r="D212" s="39"/>
      <c r="Q212" s="2" t="s">
        <v>68</v>
      </c>
    </row>
    <row r="213" spans="1:20" x14ac:dyDescent="0.45">
      <c r="A213" s="99" t="s">
        <v>45</v>
      </c>
      <c r="B213" s="99"/>
      <c r="C213" s="99"/>
      <c r="D213" s="40">
        <f>D196*20-(D205*D212+D196*(20-D212))-1639*D212</f>
        <v>0</v>
      </c>
    </row>
    <row r="216" spans="1:20" ht="18.600000000000001" x14ac:dyDescent="0.45">
      <c r="A216" s="8" t="s">
        <v>64</v>
      </c>
      <c r="B216" s="9"/>
      <c r="C216" s="9"/>
      <c r="D216" s="9"/>
    </row>
    <row r="217" spans="1:20" x14ac:dyDescent="0.45">
      <c r="A217" s="10" t="s">
        <v>67</v>
      </c>
      <c r="D217" s="11"/>
      <c r="F217" s="2" t="s">
        <v>6</v>
      </c>
      <c r="H217" s="12" t="s">
        <v>7</v>
      </c>
      <c r="I217" s="12" t="s">
        <v>8</v>
      </c>
      <c r="J217" s="12" t="s">
        <v>9</v>
      </c>
      <c r="K217" s="12" t="s">
        <v>10</v>
      </c>
      <c r="L217" s="12" t="s">
        <v>11</v>
      </c>
      <c r="M217" s="12" t="s">
        <v>12</v>
      </c>
      <c r="N217" s="12" t="s">
        <v>13</v>
      </c>
      <c r="O217" s="12" t="s">
        <v>14</v>
      </c>
      <c r="P217" s="12" t="s">
        <v>15</v>
      </c>
      <c r="Q217" s="12" t="s">
        <v>16</v>
      </c>
      <c r="R217" s="12" t="s">
        <v>17</v>
      </c>
      <c r="S217" s="13" t="s">
        <v>18</v>
      </c>
      <c r="T217" s="14" t="s">
        <v>19</v>
      </c>
    </row>
    <row r="218" spans="1:20" x14ac:dyDescent="0.45">
      <c r="A218" s="88" t="s">
        <v>20</v>
      </c>
      <c r="B218" s="89"/>
      <c r="C218" s="90"/>
      <c r="D218" s="15">
        <f>T218</f>
        <v>786549</v>
      </c>
      <c r="F218" s="91" t="s">
        <v>21</v>
      </c>
      <c r="G218" s="92"/>
      <c r="H218" s="16">
        <v>61214</v>
      </c>
      <c r="I218" s="16">
        <v>52690</v>
      </c>
      <c r="J218" s="16">
        <v>51643</v>
      </c>
      <c r="K218" s="16">
        <v>56957</v>
      </c>
      <c r="L218" s="16">
        <v>70693</v>
      </c>
      <c r="M218" s="16">
        <v>69997</v>
      </c>
      <c r="N218" s="16">
        <v>56817</v>
      </c>
      <c r="O218" s="16">
        <v>59632</v>
      </c>
      <c r="P218" s="16">
        <v>62904</v>
      </c>
      <c r="Q218" s="16">
        <v>88879</v>
      </c>
      <c r="R218" s="16">
        <v>82538</v>
      </c>
      <c r="S218" s="16">
        <v>72585</v>
      </c>
      <c r="T218" s="17">
        <f>SUM(H218:S218)</f>
        <v>786549</v>
      </c>
    </row>
    <row r="219" spans="1:20" x14ac:dyDescent="0.45">
      <c r="A219" s="93" t="s">
        <v>22</v>
      </c>
      <c r="B219" s="93"/>
      <c r="C219" s="93"/>
      <c r="D219" s="18">
        <f>T219</f>
        <v>19608961</v>
      </c>
      <c r="F219" s="93" t="s">
        <v>23</v>
      </c>
      <c r="G219" s="93"/>
      <c r="H219" s="16">
        <v>1808549</v>
      </c>
      <c r="I219" s="16">
        <v>1511174</v>
      </c>
      <c r="J219" s="16">
        <v>1447968</v>
      </c>
      <c r="K219" s="16">
        <v>1509165</v>
      </c>
      <c r="L219" s="16">
        <v>1731536</v>
      </c>
      <c r="M219" s="16">
        <v>1657690</v>
      </c>
      <c r="N219" s="16">
        <v>1488674</v>
      </c>
      <c r="O219" s="16">
        <v>1480868</v>
      </c>
      <c r="P219" s="16">
        <v>1523425</v>
      </c>
      <c r="Q219" s="16">
        <v>1932071</v>
      </c>
      <c r="R219" s="16">
        <v>1834118</v>
      </c>
      <c r="S219" s="16">
        <v>1683723</v>
      </c>
      <c r="T219" s="19">
        <f>SUM(H219:S219)</f>
        <v>19608961</v>
      </c>
    </row>
    <row r="220" spans="1:20" x14ac:dyDescent="0.45">
      <c r="A220" s="88" t="s">
        <v>24</v>
      </c>
      <c r="B220" s="89"/>
      <c r="C220" s="90"/>
      <c r="D220" s="20">
        <f>ROUNDDOWN(D219/D218,2)</f>
        <v>24.93</v>
      </c>
      <c r="T220" s="11"/>
    </row>
    <row r="221" spans="1:20" x14ac:dyDescent="0.45">
      <c r="A221" s="21"/>
      <c r="T221" s="11"/>
    </row>
    <row r="222" spans="1:20" x14ac:dyDescent="0.45">
      <c r="A222" s="10" t="s">
        <v>25</v>
      </c>
      <c r="D222" s="11"/>
      <c r="F222" s="2" t="s">
        <v>6</v>
      </c>
      <c r="H222" s="12" t="s">
        <v>7</v>
      </c>
      <c r="I222" s="12" t="s">
        <v>8</v>
      </c>
      <c r="J222" s="12" t="s">
        <v>9</v>
      </c>
      <c r="K222" s="12" t="s">
        <v>10</v>
      </c>
      <c r="L222" s="12" t="s">
        <v>11</v>
      </c>
      <c r="M222" s="12" t="s">
        <v>12</v>
      </c>
      <c r="N222" s="12" t="s">
        <v>13</v>
      </c>
      <c r="O222" s="12" t="s">
        <v>14</v>
      </c>
      <c r="P222" s="12" t="s">
        <v>15</v>
      </c>
      <c r="Q222" s="12" t="s">
        <v>16</v>
      </c>
      <c r="R222" s="12" t="s">
        <v>17</v>
      </c>
      <c r="S222" s="13" t="s">
        <v>18</v>
      </c>
      <c r="T222" s="14" t="s">
        <v>19</v>
      </c>
    </row>
    <row r="223" spans="1:20" ht="18.600000000000001" thickBot="1" x14ac:dyDescent="0.5">
      <c r="A223" s="88" t="s">
        <v>20</v>
      </c>
      <c r="B223" s="89"/>
      <c r="C223" s="90"/>
      <c r="D223" s="15">
        <f>D218</f>
        <v>786549</v>
      </c>
      <c r="F223" s="91" t="s">
        <v>21</v>
      </c>
      <c r="G223" s="92"/>
      <c r="H223" s="22">
        <f>H218</f>
        <v>61214</v>
      </c>
      <c r="I223" s="22">
        <f t="shared" ref="I223:R223" si="36">I218</f>
        <v>52690</v>
      </c>
      <c r="J223" s="22">
        <f t="shared" si="36"/>
        <v>51643</v>
      </c>
      <c r="K223" s="22">
        <f t="shared" si="36"/>
        <v>56957</v>
      </c>
      <c r="L223" s="22">
        <f t="shared" si="36"/>
        <v>70693</v>
      </c>
      <c r="M223" s="22">
        <f t="shared" si="36"/>
        <v>69997</v>
      </c>
      <c r="N223" s="22">
        <f t="shared" si="36"/>
        <v>56817</v>
      </c>
      <c r="O223" s="22">
        <f t="shared" si="36"/>
        <v>59632</v>
      </c>
      <c r="P223" s="22">
        <f t="shared" si="36"/>
        <v>62904</v>
      </c>
      <c r="Q223" s="22">
        <f t="shared" si="36"/>
        <v>88879</v>
      </c>
      <c r="R223" s="22">
        <f t="shared" si="36"/>
        <v>82538</v>
      </c>
      <c r="S223" s="22">
        <f>S218</f>
        <v>72585</v>
      </c>
      <c r="T223" s="17">
        <f>T218</f>
        <v>786549</v>
      </c>
    </row>
    <row r="224" spans="1:20" ht="18.600000000000001" thickBot="1" x14ac:dyDescent="0.5">
      <c r="A224" s="94" t="s">
        <v>26</v>
      </c>
      <c r="B224" s="88" t="s">
        <v>27</v>
      </c>
      <c r="C224" s="90"/>
      <c r="D224" s="44">
        <f>T224</f>
        <v>0</v>
      </c>
      <c r="F224" s="96" t="s">
        <v>26</v>
      </c>
      <c r="G224" s="23" t="s">
        <v>28</v>
      </c>
      <c r="H224" s="24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6"/>
      <c r="T224" s="27">
        <f>SUM(H224:S224)</f>
        <v>0</v>
      </c>
    </row>
    <row r="225" spans="1:20" x14ac:dyDescent="0.45">
      <c r="A225" s="95"/>
      <c r="B225" s="88" t="s">
        <v>29</v>
      </c>
      <c r="C225" s="89"/>
      <c r="D225" s="49">
        <f>D18</f>
        <v>0</v>
      </c>
      <c r="F225" s="97"/>
      <c r="G225" s="23" t="s">
        <v>30</v>
      </c>
      <c r="H225" s="29">
        <f t="shared" ref="H225:S225" si="37">ROUNDDOWN(H224*$D$18,0)</f>
        <v>0</v>
      </c>
      <c r="I225" s="29">
        <f t="shared" si="37"/>
        <v>0</v>
      </c>
      <c r="J225" s="29">
        <f t="shared" si="37"/>
        <v>0</v>
      </c>
      <c r="K225" s="29">
        <f t="shared" si="37"/>
        <v>0</v>
      </c>
      <c r="L225" s="29">
        <f t="shared" si="37"/>
        <v>0</v>
      </c>
      <c r="M225" s="29">
        <f t="shared" si="37"/>
        <v>0</v>
      </c>
      <c r="N225" s="29">
        <f t="shared" si="37"/>
        <v>0</v>
      </c>
      <c r="O225" s="29">
        <f t="shared" si="37"/>
        <v>0</v>
      </c>
      <c r="P225" s="29">
        <f t="shared" si="37"/>
        <v>0</v>
      </c>
      <c r="Q225" s="29">
        <f t="shared" si="37"/>
        <v>0</v>
      </c>
      <c r="R225" s="29">
        <f t="shared" si="37"/>
        <v>0</v>
      </c>
      <c r="S225" s="29">
        <f t="shared" si="37"/>
        <v>0</v>
      </c>
      <c r="T225" s="19">
        <f>SUM(H225:S225)</f>
        <v>0</v>
      </c>
    </row>
    <row r="226" spans="1:20" x14ac:dyDescent="0.45">
      <c r="A226" s="93" t="s">
        <v>31</v>
      </c>
      <c r="B226" s="88" t="s">
        <v>32</v>
      </c>
      <c r="C226" s="90"/>
      <c r="D226" s="15">
        <f>D223-D224</f>
        <v>786549</v>
      </c>
      <c r="F226" s="100" t="s">
        <v>33</v>
      </c>
      <c r="G226" s="31" t="s">
        <v>34</v>
      </c>
      <c r="H226" s="32">
        <f t="shared" ref="H226:S226" si="38">H223-H224</f>
        <v>61214</v>
      </c>
      <c r="I226" s="32">
        <f t="shared" si="38"/>
        <v>52690</v>
      </c>
      <c r="J226" s="32">
        <f t="shared" si="38"/>
        <v>51643</v>
      </c>
      <c r="K226" s="32">
        <f t="shared" si="38"/>
        <v>56957</v>
      </c>
      <c r="L226" s="32">
        <f t="shared" si="38"/>
        <v>70693</v>
      </c>
      <c r="M226" s="32">
        <f t="shared" si="38"/>
        <v>69997</v>
      </c>
      <c r="N226" s="32">
        <f t="shared" si="38"/>
        <v>56817</v>
      </c>
      <c r="O226" s="32">
        <f t="shared" si="38"/>
        <v>59632</v>
      </c>
      <c r="P226" s="32">
        <f t="shared" si="38"/>
        <v>62904</v>
      </c>
      <c r="Q226" s="32">
        <f t="shared" si="38"/>
        <v>88879</v>
      </c>
      <c r="R226" s="32">
        <f t="shared" si="38"/>
        <v>82538</v>
      </c>
      <c r="S226" s="32">
        <f t="shared" si="38"/>
        <v>72585</v>
      </c>
      <c r="T226" s="17">
        <f>SUM(H226:S226)</f>
        <v>786549</v>
      </c>
    </row>
    <row r="227" spans="1:20" x14ac:dyDescent="0.45">
      <c r="A227" s="93"/>
      <c r="B227" s="88" t="s">
        <v>35</v>
      </c>
      <c r="C227" s="90"/>
      <c r="D227" s="20">
        <f>D220</f>
        <v>24.93</v>
      </c>
      <c r="F227" s="100"/>
      <c r="G227" s="23" t="s">
        <v>36</v>
      </c>
      <c r="H227" s="32">
        <f>H226*$D227</f>
        <v>1526065.02</v>
      </c>
      <c r="I227" s="32">
        <f t="shared" ref="I227:S227" si="39">I226*$D227</f>
        <v>1313561.7</v>
      </c>
      <c r="J227" s="32">
        <f t="shared" si="39"/>
        <v>1287459.99</v>
      </c>
      <c r="K227" s="32">
        <f t="shared" si="39"/>
        <v>1419938.01</v>
      </c>
      <c r="L227" s="32">
        <f t="shared" si="39"/>
        <v>1762376.49</v>
      </c>
      <c r="M227" s="32">
        <f t="shared" si="39"/>
        <v>1745025.21</v>
      </c>
      <c r="N227" s="32">
        <f t="shared" si="39"/>
        <v>1416447.81</v>
      </c>
      <c r="O227" s="32">
        <f t="shared" si="39"/>
        <v>1486625.76</v>
      </c>
      <c r="P227" s="32">
        <f t="shared" si="39"/>
        <v>1568196.72</v>
      </c>
      <c r="Q227" s="32">
        <f t="shared" si="39"/>
        <v>2215753.4700000002</v>
      </c>
      <c r="R227" s="32">
        <f t="shared" si="39"/>
        <v>2057672.34</v>
      </c>
      <c r="S227" s="32">
        <f t="shared" si="39"/>
        <v>1809544.05</v>
      </c>
      <c r="T227" s="19">
        <f>ROUNDDOWN(SUM(H227:S227),0)</f>
        <v>19608666</v>
      </c>
    </row>
    <row r="228" spans="1:20" x14ac:dyDescent="0.45">
      <c r="A228" s="93" t="s">
        <v>37</v>
      </c>
      <c r="B228" s="93"/>
      <c r="C228" s="93"/>
      <c r="D228" s="18">
        <f>T225+T227</f>
        <v>19608666</v>
      </c>
      <c r="G228" s="33"/>
      <c r="H228" s="33"/>
      <c r="I228" s="33"/>
      <c r="J228" s="33"/>
      <c r="K228" s="34"/>
      <c r="L228" s="34"/>
      <c r="M228" s="34"/>
      <c r="N228" s="34"/>
      <c r="O228" s="34"/>
      <c r="P228" s="34"/>
      <c r="Q228" s="34"/>
      <c r="R228" s="34"/>
      <c r="S228" s="34"/>
      <c r="T228" s="34"/>
    </row>
    <row r="229" spans="1:20" x14ac:dyDescent="0.45">
      <c r="G229" s="33"/>
      <c r="H229" s="33"/>
      <c r="I229" s="33"/>
      <c r="J229" s="33"/>
      <c r="K229" s="34"/>
      <c r="L229" s="34"/>
      <c r="M229" s="34"/>
      <c r="N229" s="34"/>
      <c r="O229" s="34"/>
      <c r="P229" s="34"/>
      <c r="Q229" s="34"/>
      <c r="R229" s="34"/>
      <c r="S229" s="34"/>
      <c r="T229" s="34"/>
    </row>
    <row r="230" spans="1:20" x14ac:dyDescent="0.45">
      <c r="A230" s="10" t="s">
        <v>38</v>
      </c>
      <c r="G230" s="33"/>
      <c r="H230" s="33"/>
      <c r="I230" s="33"/>
      <c r="J230" s="33"/>
      <c r="K230" s="34"/>
      <c r="L230" s="34"/>
      <c r="M230" s="34"/>
      <c r="N230" s="34"/>
      <c r="O230" s="34"/>
      <c r="P230" s="34"/>
      <c r="Q230" s="34"/>
      <c r="R230" s="34"/>
      <c r="S230" s="34"/>
      <c r="T230" s="34"/>
    </row>
    <row r="231" spans="1:20" x14ac:dyDescent="0.45">
      <c r="A231" s="101" t="s">
        <v>65</v>
      </c>
      <c r="B231" s="101"/>
      <c r="C231" s="101"/>
      <c r="D231" s="102">
        <f>D219-D228-295</f>
        <v>0</v>
      </c>
      <c r="Q231" s="93" t="s">
        <v>39</v>
      </c>
      <c r="R231" s="93"/>
      <c r="S231" s="93"/>
      <c r="T231" s="35" t="s">
        <v>40</v>
      </c>
    </row>
    <row r="232" spans="1:20" x14ac:dyDescent="0.45">
      <c r="A232" s="101"/>
      <c r="B232" s="101"/>
      <c r="C232" s="101"/>
      <c r="D232" s="102"/>
      <c r="Q232" s="93" t="s">
        <v>41</v>
      </c>
      <c r="R232" s="93"/>
      <c r="S232" s="93"/>
      <c r="T232" s="36">
        <f>D224</f>
        <v>0</v>
      </c>
    </row>
    <row r="233" spans="1:20" x14ac:dyDescent="0.45">
      <c r="A233" s="101"/>
      <c r="B233" s="101"/>
      <c r="C233" s="101"/>
      <c r="D233" s="102"/>
      <c r="Q233" s="93" t="s">
        <v>42</v>
      </c>
      <c r="R233" s="93"/>
      <c r="S233" s="93"/>
      <c r="T233" s="37">
        <f>D224/D223*100</f>
        <v>0</v>
      </c>
    </row>
    <row r="234" spans="1:20" ht="18.600000000000001" thickBot="1" x14ac:dyDescent="0.5">
      <c r="A234" s="101"/>
      <c r="B234" s="101"/>
      <c r="C234" s="101"/>
      <c r="D234" s="103"/>
      <c r="Q234" s="93" t="s">
        <v>43</v>
      </c>
      <c r="R234" s="93"/>
      <c r="S234" s="93"/>
      <c r="T234" s="38">
        <f>T232*0.00036</f>
        <v>0</v>
      </c>
    </row>
    <row r="235" spans="1:20" ht="18.600000000000001" thickBot="1" x14ac:dyDescent="0.5">
      <c r="A235" s="94" t="s">
        <v>44</v>
      </c>
      <c r="B235" s="94"/>
      <c r="C235" s="91"/>
      <c r="D235" s="39"/>
      <c r="Q235" s="2" t="s">
        <v>68</v>
      </c>
    </row>
    <row r="236" spans="1:20" x14ac:dyDescent="0.45">
      <c r="A236" s="99" t="s">
        <v>45</v>
      </c>
      <c r="B236" s="99"/>
      <c r="C236" s="99"/>
      <c r="D236" s="40">
        <f>D219*20-(D228*D235+D219*(20-D235))-295*D235</f>
        <v>0</v>
      </c>
    </row>
  </sheetData>
  <mergeCells count="245">
    <mergeCell ref="B2:D2"/>
    <mergeCell ref="B3:D3"/>
    <mergeCell ref="B4:D4"/>
    <mergeCell ref="F6:G7"/>
    <mergeCell ref="H6:I7"/>
    <mergeCell ref="A11:C11"/>
    <mergeCell ref="F11:G11"/>
    <mergeCell ref="A19:A20"/>
    <mergeCell ref="B19:C19"/>
    <mergeCell ref="F19:F20"/>
    <mergeCell ref="B20:C20"/>
    <mergeCell ref="A21:C21"/>
    <mergeCell ref="A24:C27"/>
    <mergeCell ref="D24:D27"/>
    <mergeCell ref="A12:C12"/>
    <mergeCell ref="F12:G12"/>
    <mergeCell ref="A13:C13"/>
    <mergeCell ref="A16:C16"/>
    <mergeCell ref="F16:G16"/>
    <mergeCell ref="A17:A18"/>
    <mergeCell ref="B17:C17"/>
    <mergeCell ref="F17:F18"/>
    <mergeCell ref="B18:C18"/>
    <mergeCell ref="A34:C34"/>
    <mergeCell ref="F34:G34"/>
    <mergeCell ref="A35:C35"/>
    <mergeCell ref="F35:G35"/>
    <mergeCell ref="A36:C36"/>
    <mergeCell ref="A39:C39"/>
    <mergeCell ref="F39:G39"/>
    <mergeCell ref="Q24:S24"/>
    <mergeCell ref="Q25:S25"/>
    <mergeCell ref="Q26:S26"/>
    <mergeCell ref="Q27:S27"/>
    <mergeCell ref="A28:C28"/>
    <mergeCell ref="A29:C29"/>
    <mergeCell ref="Q47:S47"/>
    <mergeCell ref="Q48:S48"/>
    <mergeCell ref="Q49:S49"/>
    <mergeCell ref="Q50:S50"/>
    <mergeCell ref="A40:A41"/>
    <mergeCell ref="B40:C40"/>
    <mergeCell ref="F40:F41"/>
    <mergeCell ref="B41:C41"/>
    <mergeCell ref="A42:A43"/>
    <mergeCell ref="B42:C42"/>
    <mergeCell ref="F42:F43"/>
    <mergeCell ref="B43:C43"/>
    <mergeCell ref="A51:C51"/>
    <mergeCell ref="A52:C52"/>
    <mergeCell ref="A57:C57"/>
    <mergeCell ref="F57:G57"/>
    <mergeCell ref="A58:C58"/>
    <mergeCell ref="F58:G58"/>
    <mergeCell ref="A44:C44"/>
    <mergeCell ref="A47:C50"/>
    <mergeCell ref="D47:D50"/>
    <mergeCell ref="A65:A66"/>
    <mergeCell ref="B65:C65"/>
    <mergeCell ref="F65:F66"/>
    <mergeCell ref="B66:C66"/>
    <mergeCell ref="A67:C67"/>
    <mergeCell ref="A70:C73"/>
    <mergeCell ref="D70:D73"/>
    <mergeCell ref="A59:C59"/>
    <mergeCell ref="A62:C62"/>
    <mergeCell ref="F62:G62"/>
    <mergeCell ref="A63:A64"/>
    <mergeCell ref="B63:C63"/>
    <mergeCell ref="F63:F64"/>
    <mergeCell ref="B64:C64"/>
    <mergeCell ref="A80:C80"/>
    <mergeCell ref="F80:G80"/>
    <mergeCell ref="A81:C81"/>
    <mergeCell ref="F81:G81"/>
    <mergeCell ref="A82:C82"/>
    <mergeCell ref="A85:C85"/>
    <mergeCell ref="F85:G85"/>
    <mergeCell ref="Q70:S70"/>
    <mergeCell ref="Q71:S71"/>
    <mergeCell ref="Q72:S72"/>
    <mergeCell ref="Q73:S73"/>
    <mergeCell ref="A74:C74"/>
    <mergeCell ref="A75:C75"/>
    <mergeCell ref="Q93:S93"/>
    <mergeCell ref="Q94:S94"/>
    <mergeCell ref="Q95:S95"/>
    <mergeCell ref="Q96:S96"/>
    <mergeCell ref="A86:A87"/>
    <mergeCell ref="B86:C86"/>
    <mergeCell ref="F86:F87"/>
    <mergeCell ref="B87:C87"/>
    <mergeCell ref="A88:A89"/>
    <mergeCell ref="B88:C88"/>
    <mergeCell ref="F88:F89"/>
    <mergeCell ref="B89:C89"/>
    <mergeCell ref="A97:C97"/>
    <mergeCell ref="A98:C98"/>
    <mergeCell ref="A103:C103"/>
    <mergeCell ref="F103:G103"/>
    <mergeCell ref="A104:C104"/>
    <mergeCell ref="F104:G104"/>
    <mergeCell ref="A90:C90"/>
    <mergeCell ref="A93:C96"/>
    <mergeCell ref="D93:D96"/>
    <mergeCell ref="A111:A112"/>
    <mergeCell ref="B111:C111"/>
    <mergeCell ref="F111:F112"/>
    <mergeCell ref="B112:C112"/>
    <mergeCell ref="A113:C113"/>
    <mergeCell ref="A116:C119"/>
    <mergeCell ref="D116:D119"/>
    <mergeCell ref="A105:C105"/>
    <mergeCell ref="A108:C108"/>
    <mergeCell ref="F108:G108"/>
    <mergeCell ref="A109:A110"/>
    <mergeCell ref="B109:C109"/>
    <mergeCell ref="F109:F110"/>
    <mergeCell ref="B110:C110"/>
    <mergeCell ref="A126:C126"/>
    <mergeCell ref="F126:G126"/>
    <mergeCell ref="A127:C127"/>
    <mergeCell ref="F127:G127"/>
    <mergeCell ref="A128:C128"/>
    <mergeCell ref="A131:C131"/>
    <mergeCell ref="F131:G131"/>
    <mergeCell ref="Q116:S116"/>
    <mergeCell ref="Q117:S117"/>
    <mergeCell ref="Q118:S118"/>
    <mergeCell ref="Q119:S119"/>
    <mergeCell ref="A120:C120"/>
    <mergeCell ref="A121:C121"/>
    <mergeCell ref="Q139:S139"/>
    <mergeCell ref="Q140:S140"/>
    <mergeCell ref="Q141:S141"/>
    <mergeCell ref="Q142:S142"/>
    <mergeCell ref="A132:A133"/>
    <mergeCell ref="B132:C132"/>
    <mergeCell ref="F132:F133"/>
    <mergeCell ref="B133:C133"/>
    <mergeCell ref="A134:A135"/>
    <mergeCell ref="B134:C134"/>
    <mergeCell ref="F134:F135"/>
    <mergeCell ref="B135:C135"/>
    <mergeCell ref="A143:C143"/>
    <mergeCell ref="A144:C144"/>
    <mergeCell ref="A149:C149"/>
    <mergeCell ref="F149:G149"/>
    <mergeCell ref="A150:C150"/>
    <mergeCell ref="F150:G150"/>
    <mergeCell ref="A136:C136"/>
    <mergeCell ref="A139:C142"/>
    <mergeCell ref="D139:D142"/>
    <mergeCell ref="A157:A158"/>
    <mergeCell ref="B157:C157"/>
    <mergeCell ref="F157:F158"/>
    <mergeCell ref="B158:C158"/>
    <mergeCell ref="A159:C159"/>
    <mergeCell ref="A162:C165"/>
    <mergeCell ref="D162:D165"/>
    <mergeCell ref="A151:C151"/>
    <mergeCell ref="A154:C154"/>
    <mergeCell ref="F154:G154"/>
    <mergeCell ref="A155:A156"/>
    <mergeCell ref="B155:C155"/>
    <mergeCell ref="F155:F156"/>
    <mergeCell ref="B156:C156"/>
    <mergeCell ref="A172:C172"/>
    <mergeCell ref="F172:G172"/>
    <mergeCell ref="A173:C173"/>
    <mergeCell ref="F173:G173"/>
    <mergeCell ref="A174:C174"/>
    <mergeCell ref="A177:C177"/>
    <mergeCell ref="F177:G177"/>
    <mergeCell ref="Q162:S162"/>
    <mergeCell ref="Q163:S163"/>
    <mergeCell ref="Q164:S164"/>
    <mergeCell ref="Q165:S165"/>
    <mergeCell ref="A166:C166"/>
    <mergeCell ref="A167:C167"/>
    <mergeCell ref="A182:C182"/>
    <mergeCell ref="A185:C188"/>
    <mergeCell ref="D185:D188"/>
    <mergeCell ref="Q185:S185"/>
    <mergeCell ref="Q186:S186"/>
    <mergeCell ref="Q187:S187"/>
    <mergeCell ref="Q188:S188"/>
    <mergeCell ref="A178:A179"/>
    <mergeCell ref="B178:C178"/>
    <mergeCell ref="F178:F179"/>
    <mergeCell ref="B179:C179"/>
    <mergeCell ref="A180:A181"/>
    <mergeCell ref="B180:C180"/>
    <mergeCell ref="F180:F181"/>
    <mergeCell ref="B181:C181"/>
    <mergeCell ref="A197:C197"/>
    <mergeCell ref="A200:C200"/>
    <mergeCell ref="F200:G200"/>
    <mergeCell ref="A201:A202"/>
    <mergeCell ref="B201:C201"/>
    <mergeCell ref="F201:F202"/>
    <mergeCell ref="B202:C202"/>
    <mergeCell ref="A189:C189"/>
    <mergeCell ref="A190:C190"/>
    <mergeCell ref="A195:C195"/>
    <mergeCell ref="F195:G195"/>
    <mergeCell ref="A196:C196"/>
    <mergeCell ref="F196:G196"/>
    <mergeCell ref="Q208:S208"/>
    <mergeCell ref="Q209:S209"/>
    <mergeCell ref="Q210:S210"/>
    <mergeCell ref="Q211:S211"/>
    <mergeCell ref="A212:C212"/>
    <mergeCell ref="A213:C213"/>
    <mergeCell ref="A203:A204"/>
    <mergeCell ref="B203:C203"/>
    <mergeCell ref="F203:F204"/>
    <mergeCell ref="B204:C204"/>
    <mergeCell ref="A205:C205"/>
    <mergeCell ref="A208:C211"/>
    <mergeCell ref="D208:D211"/>
    <mergeCell ref="A224:A225"/>
    <mergeCell ref="B224:C224"/>
    <mergeCell ref="F224:F225"/>
    <mergeCell ref="B225:C225"/>
    <mergeCell ref="A226:A227"/>
    <mergeCell ref="B226:C226"/>
    <mergeCell ref="F226:F227"/>
    <mergeCell ref="B227:C227"/>
    <mergeCell ref="A218:C218"/>
    <mergeCell ref="F218:G218"/>
    <mergeCell ref="A219:C219"/>
    <mergeCell ref="F219:G219"/>
    <mergeCell ref="A220:C220"/>
    <mergeCell ref="A223:C223"/>
    <mergeCell ref="F223:G223"/>
    <mergeCell ref="A235:C235"/>
    <mergeCell ref="A236:C236"/>
    <mergeCell ref="A228:C228"/>
    <mergeCell ref="A231:C234"/>
    <mergeCell ref="D231:D234"/>
    <mergeCell ref="Q231:S231"/>
    <mergeCell ref="Q232:S232"/>
    <mergeCell ref="Q233:S233"/>
    <mergeCell ref="Q234:S234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>守山市役所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守山市役所</dc:creator>
  <cp:lastModifiedBy>守山市役所</cp:lastModifiedBy>
  <cp:lastPrinted>2024-06-24T02:49:41Z</cp:lastPrinted>
  <dcterms:created xsi:type="dcterms:W3CDTF">2024-05-30T12:17:16Z</dcterms:created>
  <dcterms:modified xsi:type="dcterms:W3CDTF">2024-06-24T03:36:59Z</dcterms:modified>
</cp:coreProperties>
</file>